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Rozpočet - vybrané sloupce" sheetId="1" r:id="rId1"/>
    <sheet name="Krycí list rozpočtu" sheetId="2" r:id="rId2"/>
    <sheet name="Stavební rozpočet" sheetId="3" state="veryHidden" r:id="rId3"/>
  </sheets>
  <definedNames/>
  <calcPr fullCalcOnLoad="1"/>
</workbook>
</file>

<file path=xl/sharedStrings.xml><?xml version="1.0" encoding="utf-8"?>
<sst xmlns="http://schemas.openxmlformats.org/spreadsheetml/2006/main" count="1237" uniqueCount="372">
  <si>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</si>
  <si>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</si>
  <si>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</si>
  <si>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</si>
  <si>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</si>
  <si>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</si>
  <si>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</si>
  <si>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</si>
  <si>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</si>
  <si>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</si>
  <si>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</si>
  <si>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</si>
  <si>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</si>
  <si>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</si>
  <si>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</si>
  <si>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</si>
  <si>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</si>
  <si>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</si>
  <si>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</si>
  <si>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</si>
  <si>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</si>
  <si>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</si>
  <si>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</si>
  <si>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</si>
  <si>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</si>
  <si>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</si>
  <si>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</si>
  <si>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</si>
  <si>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</si>
  <si>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</si>
  <si>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</si>
  <si>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</si>
  <si>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</si>
  <si>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</si>
  <si>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</si>
  <si>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</si>
  <si>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</si>
  <si>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</si>
  <si>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</si>
  <si>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</si>
  <si>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</si>
  <si>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</si>
  <si>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</si>
  <si>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</si>
  <si>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</si>
  <si>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</si>
  <si>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</si>
  <si>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</si>
  <si>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</si>
  <si>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</si>
  <si>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</si>
  <si>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</si>
  <si>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</si>
  <si>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</si>
  <si>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</si>
  <si>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</si>
  <si>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</si>
  <si>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</si>
  <si>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</si>
  <si>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</si>
  <si>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</si>
  <si>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</si>
  <si>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</si>
  <si>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</si>
  <si>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</si>
  <si>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</si>
  <si>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</si>
  <si>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</si>
  <si>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Kód</t>
  </si>
  <si>
    <t>342241161R00</t>
  </si>
  <si>
    <t>612403388RT1</t>
  </si>
  <si>
    <t>612471473R00</t>
  </si>
  <si>
    <t>612421615R00</t>
  </si>
  <si>
    <t>612471411R00</t>
  </si>
  <si>
    <t>612403384RT1</t>
  </si>
  <si>
    <t>610991111R00</t>
  </si>
  <si>
    <t>63</t>
  </si>
  <si>
    <t>632421120RT1</t>
  </si>
  <si>
    <t>64</t>
  </si>
  <si>
    <t>642944121RT2</t>
  </si>
  <si>
    <t>721</t>
  </si>
  <si>
    <t>721140806R00</t>
  </si>
  <si>
    <t>721176213R00</t>
  </si>
  <si>
    <t>721100000000</t>
  </si>
  <si>
    <t>722</t>
  </si>
  <si>
    <t>722110000000</t>
  </si>
  <si>
    <t>725</t>
  </si>
  <si>
    <t>725110811R00</t>
  </si>
  <si>
    <t>725130816R00</t>
  </si>
  <si>
    <t>725013161R00</t>
  </si>
  <si>
    <t>725122231R00</t>
  </si>
  <si>
    <t>733</t>
  </si>
  <si>
    <t>733110803R00</t>
  </si>
  <si>
    <t>735</t>
  </si>
  <si>
    <t>735151832R00</t>
  </si>
  <si>
    <t>735151100R00</t>
  </si>
  <si>
    <t>735159523R00</t>
  </si>
  <si>
    <t>766</t>
  </si>
  <si>
    <t>766661112R00</t>
  </si>
  <si>
    <t>766670021R00</t>
  </si>
  <si>
    <t>771</t>
  </si>
  <si>
    <t>771101101R00</t>
  </si>
  <si>
    <t>771101210RT1</t>
  </si>
  <si>
    <t>771101115R00</t>
  </si>
  <si>
    <t>771575109RT1</t>
  </si>
  <si>
    <t>781</t>
  </si>
  <si>
    <t>781101111R00</t>
  </si>
  <si>
    <t>781101210RT1</t>
  </si>
  <si>
    <t>781475115RT1</t>
  </si>
  <si>
    <t>783</t>
  </si>
  <si>
    <t>783122610R00</t>
  </si>
  <si>
    <t>784</t>
  </si>
  <si>
    <t>784402801R00</t>
  </si>
  <si>
    <t>784111101R00</t>
  </si>
  <si>
    <t>784115212R00</t>
  </si>
  <si>
    <t>784011222RT2</t>
  </si>
  <si>
    <t>94</t>
  </si>
  <si>
    <t>941955003R00</t>
  </si>
  <si>
    <t>96</t>
  </si>
  <si>
    <t>968061125R00</t>
  </si>
  <si>
    <t>968072455R00</t>
  </si>
  <si>
    <t>965100032RAA</t>
  </si>
  <si>
    <t>962031113R00</t>
  </si>
  <si>
    <t>97</t>
  </si>
  <si>
    <t>978059531R00</t>
  </si>
  <si>
    <t>974031132R00</t>
  </si>
  <si>
    <t>H721</t>
  </si>
  <si>
    <t>998721101R00</t>
  </si>
  <si>
    <t>H725</t>
  </si>
  <si>
    <t>998725101R00</t>
  </si>
  <si>
    <t>H735</t>
  </si>
  <si>
    <t>998735101R00</t>
  </si>
  <si>
    <t>H766</t>
  </si>
  <si>
    <t>998766101R00</t>
  </si>
  <si>
    <t>H771</t>
  </si>
  <si>
    <t>998771101R00</t>
  </si>
  <si>
    <t>H781</t>
  </si>
  <si>
    <t>998781101R00</t>
  </si>
  <si>
    <t>H99</t>
  </si>
  <si>
    <t>999281145R00</t>
  </si>
  <si>
    <t>M21</t>
  </si>
  <si>
    <t>210800000000</t>
  </si>
  <si>
    <t>S</t>
  </si>
  <si>
    <t>979082111R00</t>
  </si>
  <si>
    <t>979011211R00</t>
  </si>
  <si>
    <t>979086213R00</t>
  </si>
  <si>
    <t>979081111RT2</t>
  </si>
  <si>
    <t>979081121R00</t>
  </si>
  <si>
    <t>979990101R00</t>
  </si>
  <si>
    <t>59781345</t>
  </si>
  <si>
    <t>59764203</t>
  </si>
  <si>
    <t>611617013</t>
  </si>
  <si>
    <t>54914597</t>
  </si>
  <si>
    <t>61162103</t>
  </si>
  <si>
    <t>Zkrácený popis</t>
  </si>
  <si>
    <t>Stěny a příčky</t>
  </si>
  <si>
    <t>Příčky z cihel plných CP29  tl. 65 mm</t>
  </si>
  <si>
    <t>Úprava povrchů vnitřní</t>
  </si>
  <si>
    <t>Hrubá výplň rýh ve stěnách do 15x15cm maltou z SMS</t>
  </si>
  <si>
    <t>Úprava stěn stěrkováním</t>
  </si>
  <si>
    <t>Omítka vnitřní zdiva, MVC, hrubá zatřená</t>
  </si>
  <si>
    <t>Úprava vnitřních stěn aktivovaným štukem</t>
  </si>
  <si>
    <t>Hrubá výplň rýh ve stěnách do 7x7 cm maltou ze SMS</t>
  </si>
  <si>
    <t>Zakrývání výplní vnitřních otvorů</t>
  </si>
  <si>
    <t>Podlahy a podlahové konstrukce</t>
  </si>
  <si>
    <t>Potěr WEBER Saint-Gobain,ručně zpracovaný,tl.10 mm</t>
  </si>
  <si>
    <t>Výplně otvorů</t>
  </si>
  <si>
    <t>Osazení ocelových zárubní dodatečně do 2,5 m2, včetně dodávky zárubně  60x197x11 cm, zinkovaná</t>
  </si>
  <si>
    <t>Vnitřní kanalizace</t>
  </si>
  <si>
    <t>Demontáž potrubí litinového DN 200</t>
  </si>
  <si>
    <t>Potrubí KG odpadní svislé D 125 x 3,2 mm</t>
  </si>
  <si>
    <t>Úpravy vnitřní kanalizace</t>
  </si>
  <si>
    <t>Vnitřní vodovod</t>
  </si>
  <si>
    <t>Úprava vodovodní instalace</t>
  </si>
  <si>
    <t>Zařizovací předměty</t>
  </si>
  <si>
    <t>Demontáž klozetů splachovacích</t>
  </si>
  <si>
    <t>Demontáž pisoárových stání - 6ks</t>
  </si>
  <si>
    <t>Klozet kombi LYRA Plus, nádrž s armat. odpad šikmý</t>
  </si>
  <si>
    <t>Pisoár Golem s radarovým splachovačem</t>
  </si>
  <si>
    <t>Rozvod potrubí</t>
  </si>
  <si>
    <t>Úprava přívodu k radiátoru</t>
  </si>
  <si>
    <t>Otopná tělesa</t>
  </si>
  <si>
    <t>Demontáž otopných těles panelových</t>
  </si>
  <si>
    <t>Radik  POZINK VK 22 600/600</t>
  </si>
  <si>
    <t>Montáž panel.těles 2řadých, s odvzduš.,1200 mm</t>
  </si>
  <si>
    <t>Konstrukce truhlářské</t>
  </si>
  <si>
    <t>Montáž dveří do zárubně,otevíravých 1kř.do 0,8 m</t>
  </si>
  <si>
    <t>Montáž kliky a štítku</t>
  </si>
  <si>
    <t>Podlahy z dlaždic</t>
  </si>
  <si>
    <t>Vysávání podlah prům.vysavačem pro pokládku dlažby</t>
  </si>
  <si>
    <t>Penetrace podkladu</t>
  </si>
  <si>
    <t>Vyrovnání podkladů samonivel. hmotou tl. do 10 mm</t>
  </si>
  <si>
    <t>Montáž podlah keram.,hladké, tmel, 30x30 cm</t>
  </si>
  <si>
    <t>Obklady (keramické)</t>
  </si>
  <si>
    <t>Vyrovnání podkladu maltou ze SMS tl. do 7 mm</t>
  </si>
  <si>
    <t>Penetrace podkladu pod obklady</t>
  </si>
  <si>
    <t>Obklad vnitřní stěn keramický, do tmele, 25x25 cm</t>
  </si>
  <si>
    <t>Nátěry</t>
  </si>
  <si>
    <t>Nátěr stávající zárubně</t>
  </si>
  <si>
    <t>Malby</t>
  </si>
  <si>
    <t>Odstranění malby oškrábáním v místnosti H do 3,8 m</t>
  </si>
  <si>
    <t>Penetrace podkladu nátěrem</t>
  </si>
  <si>
    <t>Malba Remal standard, bílá, bez penetr.,2 x</t>
  </si>
  <si>
    <t>Zakrytí podlah</t>
  </si>
  <si>
    <t>Lešení a stavební výtahy</t>
  </si>
  <si>
    <t>Lešení lehké pomocné, výška podlahy do 2,5 m</t>
  </si>
  <si>
    <t>Bourání konstrukcí</t>
  </si>
  <si>
    <t>Vyvěšení dřevěných dveřních křídel pl. do 2 m2</t>
  </si>
  <si>
    <t>Vybourání kovových dveřních zárubní pl. do 2 m2</t>
  </si>
  <si>
    <t>Bourání dlažeb keramických</t>
  </si>
  <si>
    <t>Bourání příček z cihel pálených plných tl. 65 mm</t>
  </si>
  <si>
    <t>Prorážení otvorů a ostatní bourací práce</t>
  </si>
  <si>
    <t>Odsekání vnitřních obkladů stěn nad 2 m2</t>
  </si>
  <si>
    <t>Vysekání rýh ve zdi cihelné 5 x 7 cm</t>
  </si>
  <si>
    <t>Přesun hmot pro vnitřní kanalizaci, výšky do 6 m</t>
  </si>
  <si>
    <t>Přesun hmot pro zařizovací předměty, výšky do 6 m</t>
  </si>
  <si>
    <t>Přesun hmot pro otopná tělesa, výšky do 6 m</t>
  </si>
  <si>
    <t>Přesun hmot pro truhlářské konstr., výšky do 6 m</t>
  </si>
  <si>
    <t>Přesun hmot pro podlahy z dlaždic, výšky do 6 m</t>
  </si>
  <si>
    <t>Přesun hmot pro obklady keramické, výšky do 6 m</t>
  </si>
  <si>
    <t>Ostatní přesuny hmot</t>
  </si>
  <si>
    <t>Přesun hmot pro opravy a údržbu do v. 6 m, nošením</t>
  </si>
  <si>
    <t>Elektromontáže</t>
  </si>
  <si>
    <t>Úprava elektroinstalace</t>
  </si>
  <si>
    <t>Přesuny sutí</t>
  </si>
  <si>
    <t>Vnitrostaveništní doprava suti do 10 m</t>
  </si>
  <si>
    <t>Svislá doprava suti a vybour. hmot za 2.NP nošením</t>
  </si>
  <si>
    <t>Nakládání vybouraných hmot na dopravní prostředek</t>
  </si>
  <si>
    <t>Odvoz suti a vybour. hmot na skládku do 1 km</t>
  </si>
  <si>
    <t>Příplatek k odvozu za každý další 1 km</t>
  </si>
  <si>
    <t>Poplatek za sklád.suti-směs bet.a cihel do 30x30cm</t>
  </si>
  <si>
    <t>Ostatní materiál</t>
  </si>
  <si>
    <t>Obkládačka 20x25</t>
  </si>
  <si>
    <t>Dlaždice, 30 x 30, sv. béžová, matný</t>
  </si>
  <si>
    <t>Dveře vnitřní pozink 60x197 cm</t>
  </si>
  <si>
    <t>Dveřní kování</t>
  </si>
  <si>
    <t>Dveře vnitřní fóliované plné 1kř. 80x197 cm</t>
  </si>
  <si>
    <t>Doba výstavby:</t>
  </si>
  <si>
    <t>Začátek výstavby:</t>
  </si>
  <si>
    <t>Konec výstavby:</t>
  </si>
  <si>
    <t>Zpracováno dne:</t>
  </si>
  <si>
    <t>MJ</t>
  </si>
  <si>
    <t>m2</t>
  </si>
  <si>
    <t>m</t>
  </si>
  <si>
    <t>kus</t>
  </si>
  <si>
    <t>soub</t>
  </si>
  <si>
    <t>soubor</t>
  </si>
  <si>
    <t>t</t>
  </si>
  <si>
    <t>Množství</t>
  </si>
  <si>
    <t>Objednatel:</t>
  </si>
  <si>
    <t>Projektant:</t>
  </si>
  <si>
    <t>Zhotovitel:</t>
  </si>
  <si>
    <t>Zpracoval:</t>
  </si>
  <si>
    <t>Jednotková cena (Kč)</t>
  </si>
  <si>
    <t>Celkem:</t>
  </si>
  <si>
    <t>Náklady celkem (Kč)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</si>
  <si>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</si>
  <si>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</si>
  <si>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</si>
  <si>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</si>
  <si>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</si>
  <si>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</si>
  <si>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</si>
  <si>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</si>
  <si>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</si>
  <si>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</si>
  <si>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</si>
  <si>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</si>
  <si>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</si>
  <si>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</si>
  <si>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</si>
  <si>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</si>
  <si>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rozpočtu</t>
  </si>
  <si>
    <t>B</t>
  </si>
  <si>
    <t>Práce přesčas</t>
  </si>
  <si>
    <t>Bez pevné podl.</t>
  </si>
  <si>
    <t>Kulturní památka</t>
  </si>
  <si>
    <t>Režie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</si>
  <si>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</si>
  <si>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</si>
  <si>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</si>
  <si>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</si>
  <si>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</si>
  <si>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</si>
  <si>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</si>
  <si>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</si>
  <si>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</si>
  <si>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</si>
  <si>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</si>
  <si>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</si>
  <si>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</si>
  <si>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</si>
  <si>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</si>
  <si>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</si>
  <si>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</si>
  <si>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</si>
  <si>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</si>
  <si>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</si>
  <si>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</si>
  <si>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</si>
  <si>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</si>
  <si>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</si>
  <si>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Objekt</t>
  </si>
  <si>
    <t>Rekonstrukce sociálního zařízení 1.stupeň - 2NP</t>
  </si>
  <si>
    <t>ZŠ Nádražní</t>
  </si>
  <si>
    <t>Česká Třebová</t>
  </si>
  <si>
    <t>Rozměry</t>
  </si>
  <si>
    <t>16.05.2019</t>
  </si>
  <si>
    <t>Cena/MJ</t>
  </si>
  <si>
    <t>(Kč)</t>
  </si>
  <si>
    <t>Náklady (Kč)</t>
  </si>
  <si>
    <t>Dodávka</t>
  </si>
  <si>
    <t> </t>
  </si>
  <si>
    <t>DS Intex s.r.o.</t>
  </si>
  <si>
    <t>Brettler Jaromír</t>
  </si>
  <si>
    <t>Celkem</t>
  </si>
  <si>
    <t>Hmotnost (t)</t>
  </si>
  <si>
    <t>Jednot.</t>
  </si>
  <si>
    <t>Cenová</t>
  </si>
  <si>
    <t>soustava</t>
  </si>
  <si>
    <t>RTS I / 2019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</si>
  <si>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</si>
  <si>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</si>
  <si>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</si>
  <si>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</si>
  <si>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</si>
  <si>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</si>
  <si>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</si>
  <si>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</si>
  <si>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</si>
  <si>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</si>
  <si>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</si>
  <si>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34_</t>
  </si>
  <si>
    <t>61_</t>
  </si>
  <si>
    <t>63_</t>
  </si>
  <si>
    <t>64_</t>
  </si>
  <si>
    <t>721_</t>
  </si>
  <si>
    <t>722_</t>
  </si>
  <si>
    <t>725_</t>
  </si>
  <si>
    <t>733_</t>
  </si>
  <si>
    <t>735_</t>
  </si>
  <si>
    <t>766_</t>
  </si>
  <si>
    <t>771_</t>
  </si>
  <si>
    <t>781_</t>
  </si>
  <si>
    <t>783_</t>
  </si>
  <si>
    <t>784_</t>
  </si>
  <si>
    <t>94_</t>
  </si>
  <si>
    <t>96_</t>
  </si>
  <si>
    <t>97_</t>
  </si>
  <si>
    <t>H721_</t>
  </si>
  <si>
    <t>H725_</t>
  </si>
  <si>
    <t>H735_</t>
  </si>
  <si>
    <t>H766_</t>
  </si>
  <si>
    <t>H771_</t>
  </si>
  <si>
    <t>H781_</t>
  </si>
  <si>
    <t>H99_</t>
  </si>
  <si>
    <t>M21_</t>
  </si>
  <si>
    <t>S_</t>
  </si>
  <si>
    <t>Z99999_</t>
  </si>
  <si>
    <t>3_</t>
  </si>
  <si>
    <t>6_</t>
  </si>
  <si>
    <t>72_</t>
  </si>
  <si>
    <t>73_</t>
  </si>
  <si>
    <t>76_</t>
  </si>
  <si>
    <t>77_</t>
  </si>
  <si>
    <t>78_</t>
  </si>
  <si>
    <t>9_</t>
  </si>
  <si>
    <t>Z_</t>
  </si>
  <si>
    <t>_</t>
  </si>
  <si>
    <t>MAT</t>
  </si>
  <si>
    <t>WORK</t>
  </si>
  <si>
    <t>CELK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</si>
</sst>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0"/>
      <color indexed="56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3">
    <xf numFmtId="0" fontId="1" fillId="0" borderId="0" xfId="0" applyFont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" fontId="6" fillId="33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8" fillId="34" borderId="12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11" fillId="0" borderId="17" xfId="0" applyNumberFormat="1" applyFont="1" applyFill="1" applyBorder="1" applyAlignment="1" applyProtection="1">
      <alignment horizontal="left" vertical="center"/>
      <protection/>
    </xf>
    <xf numFmtId="49" fontId="10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" fontId="10" fillId="0" borderId="12" xfId="0" applyNumberFormat="1" applyFont="1" applyFill="1" applyBorder="1" applyAlignment="1" applyProtection="1">
      <alignment horizontal="right" vertical="center"/>
      <protection/>
    </xf>
    <xf numFmtId="49" fontId="10" fillId="0" borderId="12" xfId="0" applyNumberFormat="1" applyFont="1" applyFill="1" applyBorder="1" applyAlignment="1" applyProtection="1">
      <alignment horizontal="right" vertical="center"/>
      <protection/>
    </xf>
    <xf numFmtId="4" fontId="10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9" fillId="34" borderId="24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49" fontId="13" fillId="33" borderId="17" xfId="0" applyNumberFormat="1" applyFont="1" applyFill="1" applyBorder="1" applyAlignment="1" applyProtection="1">
      <alignment horizontal="left" vertical="center"/>
      <protection/>
    </xf>
    <xf numFmtId="49" fontId="13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6" fillId="33" borderId="17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6" fillId="33" borderId="17" xfId="0" applyNumberFormat="1" applyFont="1" applyFill="1" applyBorder="1" applyAlignment="1" applyProtection="1">
      <alignment horizontal="right" vertical="center"/>
      <protection/>
    </xf>
    <xf numFmtId="49" fontId="6" fillId="33" borderId="0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6" fillId="33" borderId="17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3" fillId="0" borderId="37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39" xfId="0" applyNumberFormat="1" applyFont="1" applyFill="1" applyBorder="1" applyAlignment="1" applyProtection="1">
      <alignment horizontal="left" vertical="center"/>
      <protection/>
    </xf>
    <xf numFmtId="49" fontId="3" fillId="33" borderId="17" xfId="0" applyNumberFormat="1" applyFont="1" applyFill="1" applyBorder="1" applyAlignment="1" applyProtection="1">
      <alignment horizontal="left" vertical="center"/>
      <protection/>
    </xf>
    <xf numFmtId="0" fontId="3" fillId="33" borderId="17" xfId="0" applyNumberFormat="1" applyFont="1" applyFill="1" applyBorder="1" applyAlignment="1" applyProtection="1">
      <alignment horizontal="left" vertical="center"/>
      <protection/>
    </xf>
    <xf numFmtId="49" fontId="3" fillId="33" borderId="17" xfId="0" applyNumberFormat="1" applyFont="1" applyFill="1" applyBorder="1" applyAlignment="1" applyProtection="1">
      <alignment horizontal="right" vertical="center"/>
      <protection/>
    </xf>
    <xf numFmtId="0" fontId="3" fillId="33" borderId="17" xfId="0" applyNumberFormat="1" applyFont="1" applyFill="1" applyBorder="1" applyAlignment="1" applyProtection="1">
      <alignment horizontal="right" vertical="center"/>
      <protection/>
    </xf>
    <xf numFmtId="4" fontId="3" fillId="33" borderId="17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6" fillId="33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49" fontId="12" fillId="0" borderId="41" xfId="0" applyNumberFormat="1" applyFont="1" applyFill="1" applyBorder="1" applyAlignment="1" applyProtection="1">
      <alignment horizontal="left" vertical="center"/>
      <protection/>
    </xf>
    <xf numFmtId="0" fontId="12" fillId="0" borderId="24" xfId="0" applyNumberFormat="1" applyFont="1" applyFill="1" applyBorder="1" applyAlignment="1" applyProtection="1">
      <alignment horizontal="left" vertical="center"/>
      <protection/>
    </xf>
    <xf numFmtId="49" fontId="10" fillId="0" borderId="41" xfId="0" applyNumberFormat="1" applyFont="1" applyFill="1" applyBorder="1" applyAlignment="1" applyProtection="1">
      <alignment horizontal="left" vertical="center"/>
      <protection/>
    </xf>
    <xf numFmtId="0" fontId="10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9" fillId="34" borderId="41" xfId="0" applyNumberFormat="1" applyFont="1" applyFill="1" applyBorder="1" applyAlignment="1" applyProtection="1">
      <alignment horizontal="left" vertical="center"/>
      <protection/>
    </xf>
    <xf numFmtId="0" fontId="9" fillId="34" borderId="40" xfId="0" applyNumberFormat="1" applyFont="1" applyFill="1" applyBorder="1" applyAlignment="1" applyProtection="1">
      <alignment horizontal="left" vertical="center"/>
      <protection/>
    </xf>
    <xf numFmtId="49" fontId="10" fillId="0" borderId="42" xfId="0" applyNumberFormat="1" applyFont="1" applyFill="1" applyBorder="1" applyAlignment="1" applyProtection="1">
      <alignment horizontal="left" vertical="center"/>
      <protection/>
    </xf>
    <xf numFmtId="0" fontId="10" fillId="0" borderId="17" xfId="0" applyNumberFormat="1" applyFont="1" applyFill="1" applyBorder="1" applyAlignment="1" applyProtection="1">
      <alignment horizontal="left" vertical="center"/>
      <protection/>
    </xf>
    <xf numFmtId="0" fontId="10" fillId="0" borderId="43" xfId="0" applyNumberFormat="1" applyFont="1" applyFill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44" xfId="0" applyNumberFormat="1" applyFont="1" applyFill="1" applyBorder="1" applyAlignment="1" applyProtection="1">
      <alignment horizontal="left" vertical="center"/>
      <protection/>
    </xf>
    <xf numFmtId="49" fontId="10" fillId="0" borderId="45" xfId="0" applyNumberFormat="1" applyFont="1" applyFill="1" applyBorder="1" applyAlignment="1" applyProtection="1">
      <alignment horizontal="left" vertical="center"/>
      <protection/>
    </xf>
    <xf numFmtId="0" fontId="10" fillId="0" borderId="46" xfId="0" applyNumberFormat="1" applyFont="1" applyFill="1" applyBorder="1" applyAlignment="1" applyProtection="1">
      <alignment horizontal="left" vertical="center"/>
      <protection/>
    </xf>
    <xf numFmtId="0" fontId="10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466725</xdr:colOff>
      <xdr:row>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00"/>
  <sheetViews>
    <sheetView zoomScalePageLayoutView="0" workbookViewId="0" topLeftCell="A1">
      <pane ySplit="10" topLeftCell="A23" activePane="bottomLeft" state="frozen"/>
      <selection pane="topLeft" activeCell="A1" sqref="A1"/>
      <selection pane="bottomLeft" activeCell="BE101" sqref="BE101"/>
    </sheetView>
  </sheetViews>
  <sheetFormatPr defaultColWidth="11.57421875" defaultRowHeight="12.75"/>
  <cols>
    <col min="1" max="64" width="2.8515625" style="0" customWidth="1"/>
    <col min="65" max="250" width="11.57421875" style="0" customWidth="1"/>
    <col min="251" max="254" width="12.140625" style="0" hidden="1" customWidth="1"/>
  </cols>
  <sheetData>
    <row r="1" spans="1:64" ht="72.7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</row>
    <row r="2" spans="1:65" ht="12.75">
      <c r="A2" s="59" t="s">
        <v>1</v>
      </c>
      <c r="B2" s="60"/>
      <c r="C2" s="60"/>
      <c r="D2" s="60"/>
      <c r="E2" s="60"/>
      <c r="F2" s="63" t="str">
        <f>'Stavební rozpočet'!D2</f>
        <v>Rekonstrukce sociálního zařízení 1.stupeň - 2NP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6" t="s">
        <v>237</v>
      </c>
      <c r="AK2" s="60"/>
      <c r="AL2" s="60"/>
      <c r="AM2" s="60"/>
      <c r="AN2" s="60"/>
      <c r="AO2" s="60"/>
      <c r="AP2" s="60"/>
      <c r="AQ2" s="67" t="str">
        <f>'Stavební rozpočet'!G2</f>
        <v> </v>
      </c>
      <c r="AR2" s="60"/>
      <c r="AS2" s="60"/>
      <c r="AT2" s="60"/>
      <c r="AU2" s="60"/>
      <c r="AV2" s="60"/>
      <c r="AW2" s="67" t="s">
        <v>249</v>
      </c>
      <c r="AX2" s="60"/>
      <c r="AY2" s="60"/>
      <c r="AZ2" s="60"/>
      <c r="BA2" s="60"/>
      <c r="BB2" s="60"/>
      <c r="BC2" s="60"/>
      <c r="BD2" s="67" t="str">
        <f>'Stavební rozpočet'!I2</f>
        <v> </v>
      </c>
      <c r="BE2" s="60"/>
      <c r="BF2" s="60"/>
      <c r="BG2" s="60"/>
      <c r="BH2" s="60"/>
      <c r="BI2" s="60"/>
      <c r="BJ2" s="60"/>
      <c r="BK2" s="60"/>
      <c r="BL2" s="68"/>
      <c r="BM2" s="5"/>
    </row>
    <row r="3" spans="1:65" ht="12.75">
      <c r="A3" s="61"/>
      <c r="B3" s="62"/>
      <c r="C3" s="62"/>
      <c r="D3" s="62"/>
      <c r="E3" s="62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9"/>
      <c r="BM3" s="5"/>
    </row>
    <row r="4" spans="1:65" ht="12.75">
      <c r="A4" s="70" t="s">
        <v>2</v>
      </c>
      <c r="B4" s="62"/>
      <c r="C4" s="62"/>
      <c r="D4" s="62"/>
      <c r="E4" s="62"/>
      <c r="F4" s="71" t="str">
        <f>'Stavební rozpočet'!D4</f>
        <v>ZŠ Nádražní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72" t="s">
        <v>238</v>
      </c>
      <c r="AK4" s="62"/>
      <c r="AL4" s="62"/>
      <c r="AM4" s="62"/>
      <c r="AN4" s="62"/>
      <c r="AO4" s="62"/>
      <c r="AP4" s="62"/>
      <c r="AQ4" s="71" t="str">
        <f>'Stavební rozpočet'!G4</f>
        <v> </v>
      </c>
      <c r="AR4" s="62"/>
      <c r="AS4" s="62"/>
      <c r="AT4" s="62"/>
      <c r="AU4" s="62"/>
      <c r="AV4" s="62"/>
      <c r="AW4" s="71" t="s">
        <v>250</v>
      </c>
      <c r="AX4" s="62"/>
      <c r="AY4" s="62"/>
      <c r="AZ4" s="62"/>
      <c r="BA4" s="62"/>
      <c r="BB4" s="62"/>
      <c r="BC4" s="62"/>
      <c r="BD4" s="71" t="str">
        <f>'Stavební rozpočet'!I4</f>
        <v> </v>
      </c>
      <c r="BE4" s="62"/>
      <c r="BF4" s="62"/>
      <c r="BG4" s="62"/>
      <c r="BH4" s="62"/>
      <c r="BI4" s="62"/>
      <c r="BJ4" s="62"/>
      <c r="BK4" s="62"/>
      <c r="BL4" s="69"/>
      <c r="BM4" s="5"/>
    </row>
    <row r="5" spans="1:65" ht="12.7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9"/>
      <c r="BM5" s="5"/>
    </row>
    <row r="6" spans="1:65" ht="12.75">
      <c r="A6" s="70" t="s">
        <v>3</v>
      </c>
      <c r="B6" s="62"/>
      <c r="C6" s="62"/>
      <c r="D6" s="62"/>
      <c r="E6" s="62"/>
      <c r="F6" s="71" t="str">
        <f>'Stavební rozpočet'!D6</f>
        <v>Česká Třebová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72" t="s">
        <v>239</v>
      </c>
      <c r="AK6" s="62"/>
      <c r="AL6" s="62"/>
      <c r="AM6" s="62"/>
      <c r="AN6" s="62"/>
      <c r="AO6" s="62"/>
      <c r="AP6" s="62"/>
      <c r="AQ6" s="71" t="str">
        <f>'Stavební rozpočet'!G6</f>
        <v> </v>
      </c>
      <c r="AR6" s="62"/>
      <c r="AS6" s="62"/>
      <c r="AT6" s="62"/>
      <c r="AU6" s="62"/>
      <c r="AV6" s="62"/>
      <c r="AW6" s="71" t="s">
        <v>251</v>
      </c>
      <c r="AX6" s="62"/>
      <c r="AY6" s="62"/>
      <c r="AZ6" s="62"/>
      <c r="BA6" s="62"/>
      <c r="BB6" s="62"/>
      <c r="BC6" s="62"/>
      <c r="BD6" s="71"/>
      <c r="BE6" s="62"/>
      <c r="BF6" s="62"/>
      <c r="BG6" s="62"/>
      <c r="BH6" s="62"/>
      <c r="BI6" s="62"/>
      <c r="BJ6" s="62"/>
      <c r="BK6" s="62"/>
      <c r="BL6" s="69"/>
      <c r="BM6" s="5"/>
    </row>
    <row r="7" spans="1:65" ht="12.7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9"/>
      <c r="BM7" s="5"/>
    </row>
    <row r="8" spans="1:65" ht="12.75">
      <c r="A8" s="70" t="s">
        <v>4</v>
      </c>
      <c r="B8" s="62"/>
      <c r="C8" s="62"/>
      <c r="D8" s="62"/>
      <c r="E8" s="62"/>
      <c r="F8" s="71" t="str">
        <f>'Stavební rozpočet'!D8</f>
        <v> 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72" t="s">
        <v>240</v>
      </c>
      <c r="AK8" s="62"/>
      <c r="AL8" s="62"/>
      <c r="AM8" s="62"/>
      <c r="AN8" s="62"/>
      <c r="AO8" s="62"/>
      <c r="AP8" s="62"/>
      <c r="AQ8" s="71" t="str">
        <f>'Stavební rozpočet'!G8</f>
        <v>16.05.2019</v>
      </c>
      <c r="AR8" s="62"/>
      <c r="AS8" s="62"/>
      <c r="AT8" s="62"/>
      <c r="AU8" s="62"/>
      <c r="AV8" s="62"/>
      <c r="AW8" s="71" t="s">
        <v>252</v>
      </c>
      <c r="AX8" s="62"/>
      <c r="AY8" s="62"/>
      <c r="AZ8" s="62"/>
      <c r="BA8" s="62"/>
      <c r="BB8" s="62"/>
      <c r="BC8" s="62"/>
      <c r="BD8" s="71"/>
      <c r="BE8" s="62"/>
      <c r="BF8" s="62"/>
      <c r="BG8" s="62"/>
      <c r="BH8" s="62"/>
      <c r="BI8" s="62"/>
      <c r="BJ8" s="62"/>
      <c r="BK8" s="62"/>
      <c r="BL8" s="69"/>
      <c r="BM8" s="5"/>
    </row>
    <row r="9" spans="1:65" ht="12.7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5"/>
      <c r="BM9" s="5"/>
    </row>
    <row r="10" spans="1:65" ht="12.75">
      <c r="A10" s="76" t="s">
        <v>5</v>
      </c>
      <c r="B10" s="77"/>
      <c r="C10" s="76" t="s">
        <v>68</v>
      </c>
      <c r="D10" s="78"/>
      <c r="E10" s="78"/>
      <c r="F10" s="78"/>
      <c r="G10" s="78"/>
      <c r="H10" s="77"/>
      <c r="I10" s="76" t="s">
        <v>154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7"/>
      <c r="AP10" s="76" t="s">
        <v>241</v>
      </c>
      <c r="AQ10" s="77"/>
      <c r="AR10" s="76" t="s">
        <v>248</v>
      </c>
      <c r="AS10" s="78"/>
      <c r="AT10" s="78"/>
      <c r="AU10" s="78"/>
      <c r="AV10" s="77"/>
      <c r="AW10" s="76" t="s">
        <v>253</v>
      </c>
      <c r="AX10" s="78"/>
      <c r="AY10" s="78"/>
      <c r="AZ10" s="78"/>
      <c r="BA10" s="78"/>
      <c r="BB10" s="78"/>
      <c r="BC10" s="78"/>
      <c r="BD10" s="77"/>
      <c r="BE10" s="76" t="s">
        <v>255</v>
      </c>
      <c r="BF10" s="78"/>
      <c r="BG10" s="78"/>
      <c r="BH10" s="78"/>
      <c r="BI10" s="78"/>
      <c r="BJ10" s="78"/>
      <c r="BK10" s="78"/>
      <c r="BL10" s="79"/>
      <c r="BM10" s="5"/>
    </row>
    <row r="11" spans="1:64" ht="12.75">
      <c r="A11" s="80" t="s">
        <v>6</v>
      </c>
      <c r="B11" s="81"/>
      <c r="C11" s="80" t="s">
        <v>40</v>
      </c>
      <c r="D11" s="81"/>
      <c r="E11" s="81"/>
      <c r="F11" s="81"/>
      <c r="G11" s="81"/>
      <c r="H11" s="81"/>
      <c r="I11" s="80" t="s">
        <v>155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0" t="s">
        <v>6</v>
      </c>
      <c r="AQ11" s="81"/>
      <c r="AR11" s="82" t="s">
        <v>6</v>
      </c>
      <c r="AS11" s="83"/>
      <c r="AT11" s="83"/>
      <c r="AU11" s="83"/>
      <c r="AV11" s="83"/>
      <c r="AW11" s="82" t="s">
        <v>6</v>
      </c>
      <c r="AX11" s="83"/>
      <c r="AY11" s="83"/>
      <c r="AZ11" s="83"/>
      <c r="BA11" s="83"/>
      <c r="BB11" s="83"/>
      <c r="BC11" s="83"/>
      <c r="BD11" s="83"/>
      <c r="BE11" s="84">
        <f>SUM(BE12:BE12)</f>
        <v>0</v>
      </c>
      <c r="BF11" s="83"/>
      <c r="BG11" s="83"/>
      <c r="BH11" s="83"/>
      <c r="BI11" s="83"/>
      <c r="BJ11" s="83"/>
      <c r="BK11" s="83"/>
      <c r="BL11" s="83"/>
    </row>
    <row r="12" spans="1:253" ht="12.75">
      <c r="A12" s="85" t="s">
        <v>7</v>
      </c>
      <c r="B12" s="86"/>
      <c r="C12" s="85" t="s">
        <v>69</v>
      </c>
      <c r="D12" s="86"/>
      <c r="E12" s="86"/>
      <c r="F12" s="86"/>
      <c r="G12" s="86"/>
      <c r="H12" s="86"/>
      <c r="I12" s="85" t="s">
        <v>156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5" t="s">
        <v>242</v>
      </c>
      <c r="AQ12" s="86"/>
      <c r="AR12" s="87">
        <v>2</v>
      </c>
      <c r="AS12" s="88"/>
      <c r="AT12" s="88"/>
      <c r="AU12" s="88"/>
      <c r="AV12" s="88"/>
      <c r="AW12" s="87"/>
      <c r="AX12" s="88"/>
      <c r="AY12" s="88"/>
      <c r="AZ12" s="88"/>
      <c r="BA12" s="88"/>
      <c r="BB12" s="88"/>
      <c r="BC12" s="88"/>
      <c r="BD12" s="88"/>
      <c r="BE12" s="87">
        <f>IR12*AR12+IS12*AR12</f>
        <v>0</v>
      </c>
      <c r="BF12" s="88"/>
      <c r="BG12" s="88"/>
      <c r="BH12" s="88"/>
      <c r="BI12" s="88"/>
      <c r="BJ12" s="88"/>
      <c r="BK12" s="88"/>
      <c r="BL12" s="88"/>
      <c r="IR12" s="7">
        <f>AW12*0.449387755102041</f>
        <v>0</v>
      </c>
      <c r="IS12" s="7">
        <f>AW12*(1-0.449387755102041)</f>
        <v>0</v>
      </c>
    </row>
    <row r="13" spans="1:64" ht="12.75">
      <c r="A13" s="89" t="s">
        <v>6</v>
      </c>
      <c r="B13" s="90"/>
      <c r="C13" s="89" t="s">
        <v>67</v>
      </c>
      <c r="D13" s="90"/>
      <c r="E13" s="90"/>
      <c r="F13" s="90"/>
      <c r="G13" s="90"/>
      <c r="H13" s="90"/>
      <c r="I13" s="89" t="s">
        <v>157</v>
      </c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89" t="s">
        <v>6</v>
      </c>
      <c r="AQ13" s="90"/>
      <c r="AR13" s="91" t="s">
        <v>6</v>
      </c>
      <c r="AS13" s="92"/>
      <c r="AT13" s="92"/>
      <c r="AU13" s="92"/>
      <c r="AV13" s="92"/>
      <c r="AW13" s="91" t="s">
        <v>6</v>
      </c>
      <c r="AX13" s="92"/>
      <c r="AY13" s="92"/>
      <c r="AZ13" s="92"/>
      <c r="BA13" s="92"/>
      <c r="BB13" s="92"/>
      <c r="BC13" s="92"/>
      <c r="BD13" s="92"/>
      <c r="BE13" s="93">
        <f>SUM(BE14:BE19)</f>
        <v>0</v>
      </c>
      <c r="BF13" s="92"/>
      <c r="BG13" s="92"/>
      <c r="BH13" s="92"/>
      <c r="BI13" s="92"/>
      <c r="BJ13" s="92"/>
      <c r="BK13" s="92"/>
      <c r="BL13" s="92"/>
    </row>
    <row r="14" spans="1:253" ht="12.75">
      <c r="A14" s="85" t="s">
        <v>8</v>
      </c>
      <c r="B14" s="86"/>
      <c r="C14" s="85" t="s">
        <v>70</v>
      </c>
      <c r="D14" s="86"/>
      <c r="E14" s="86"/>
      <c r="F14" s="86"/>
      <c r="G14" s="86"/>
      <c r="H14" s="86"/>
      <c r="I14" s="85" t="s">
        <v>158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5" t="s">
        <v>243</v>
      </c>
      <c r="AQ14" s="86"/>
      <c r="AR14" s="87">
        <v>10.5</v>
      </c>
      <c r="AS14" s="88"/>
      <c r="AT14" s="88"/>
      <c r="AU14" s="88"/>
      <c r="AV14" s="88"/>
      <c r="AW14" s="87"/>
      <c r="AX14" s="88"/>
      <c r="AY14" s="88"/>
      <c r="AZ14" s="88"/>
      <c r="BA14" s="88"/>
      <c r="BB14" s="88"/>
      <c r="BC14" s="88"/>
      <c r="BD14" s="88"/>
      <c r="BE14" s="87">
        <f aca="true" t="shared" si="0" ref="BE14:BE19">IR14*AR14+IS14*AR14</f>
        <v>0</v>
      </c>
      <c r="BF14" s="88"/>
      <c r="BG14" s="88"/>
      <c r="BH14" s="88"/>
      <c r="BI14" s="88"/>
      <c r="BJ14" s="88"/>
      <c r="BK14" s="88"/>
      <c r="BL14" s="88"/>
      <c r="IR14" s="7">
        <f>AW14*0.484595744680851</f>
        <v>0</v>
      </c>
      <c r="IS14" s="7">
        <f>AW14*(1-0.484595744680851)</f>
        <v>0</v>
      </c>
    </row>
    <row r="15" spans="1:253" ht="12.75">
      <c r="A15" s="85" t="s">
        <v>9</v>
      </c>
      <c r="B15" s="86"/>
      <c r="C15" s="85" t="s">
        <v>71</v>
      </c>
      <c r="D15" s="86"/>
      <c r="E15" s="86"/>
      <c r="F15" s="86"/>
      <c r="G15" s="86"/>
      <c r="H15" s="86"/>
      <c r="I15" s="85" t="s">
        <v>159</v>
      </c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5" t="s">
        <v>242</v>
      </c>
      <c r="AQ15" s="86"/>
      <c r="AR15" s="87">
        <v>96.63</v>
      </c>
      <c r="AS15" s="88"/>
      <c r="AT15" s="88"/>
      <c r="AU15" s="88"/>
      <c r="AV15" s="88"/>
      <c r="AW15" s="87"/>
      <c r="AX15" s="88"/>
      <c r="AY15" s="88"/>
      <c r="AZ15" s="88"/>
      <c r="BA15" s="88"/>
      <c r="BB15" s="88"/>
      <c r="BC15" s="88"/>
      <c r="BD15" s="88"/>
      <c r="BE15" s="87">
        <f t="shared" si="0"/>
        <v>0</v>
      </c>
      <c r="BF15" s="88"/>
      <c r="BG15" s="88"/>
      <c r="BH15" s="88"/>
      <c r="BI15" s="88"/>
      <c r="BJ15" s="88"/>
      <c r="BK15" s="88"/>
      <c r="BL15" s="88"/>
      <c r="IR15" s="7">
        <f>AW15*0.185567996937506</f>
        <v>0</v>
      </c>
      <c r="IS15" s="7">
        <f>AW15*(1-0.185567996937506)</f>
        <v>0</v>
      </c>
    </row>
    <row r="16" spans="1:253" ht="12.75">
      <c r="A16" s="85" t="s">
        <v>10</v>
      </c>
      <c r="B16" s="86"/>
      <c r="C16" s="85" t="s">
        <v>72</v>
      </c>
      <c r="D16" s="86"/>
      <c r="E16" s="86"/>
      <c r="F16" s="86"/>
      <c r="G16" s="86"/>
      <c r="H16" s="86"/>
      <c r="I16" s="85" t="s">
        <v>160</v>
      </c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5" t="s">
        <v>242</v>
      </c>
      <c r="AQ16" s="86"/>
      <c r="AR16" s="87">
        <v>4</v>
      </c>
      <c r="AS16" s="88"/>
      <c r="AT16" s="88"/>
      <c r="AU16" s="88"/>
      <c r="AV16" s="88"/>
      <c r="AW16" s="87"/>
      <c r="AX16" s="88"/>
      <c r="AY16" s="88"/>
      <c r="AZ16" s="88"/>
      <c r="BA16" s="88"/>
      <c r="BB16" s="88"/>
      <c r="BC16" s="88"/>
      <c r="BD16" s="88"/>
      <c r="BE16" s="87">
        <f t="shared" si="0"/>
        <v>0</v>
      </c>
      <c r="BF16" s="88"/>
      <c r="BG16" s="88"/>
      <c r="BH16" s="88"/>
      <c r="BI16" s="88"/>
      <c r="BJ16" s="88"/>
      <c r="BK16" s="88"/>
      <c r="BL16" s="88"/>
      <c r="IR16" s="7">
        <f>AW16*0.159433551198257</f>
        <v>0</v>
      </c>
      <c r="IS16" s="7">
        <f>AW16*(1-0.159433551198257)</f>
        <v>0</v>
      </c>
    </row>
    <row r="17" spans="1:253" ht="12.75">
      <c r="A17" s="85" t="s">
        <v>11</v>
      </c>
      <c r="B17" s="86"/>
      <c r="C17" s="85" t="s">
        <v>73</v>
      </c>
      <c r="D17" s="86"/>
      <c r="E17" s="86"/>
      <c r="F17" s="86"/>
      <c r="G17" s="86"/>
      <c r="H17" s="86"/>
      <c r="I17" s="85" t="s">
        <v>161</v>
      </c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5" t="s">
        <v>242</v>
      </c>
      <c r="AQ17" s="86"/>
      <c r="AR17" s="87">
        <v>23.7</v>
      </c>
      <c r="AS17" s="88"/>
      <c r="AT17" s="88"/>
      <c r="AU17" s="88"/>
      <c r="AV17" s="88"/>
      <c r="AW17" s="87"/>
      <c r="AX17" s="88"/>
      <c r="AY17" s="88"/>
      <c r="AZ17" s="88"/>
      <c r="BA17" s="88"/>
      <c r="BB17" s="88"/>
      <c r="BC17" s="88"/>
      <c r="BD17" s="88"/>
      <c r="BE17" s="87">
        <f t="shared" si="0"/>
        <v>0</v>
      </c>
      <c r="BF17" s="88"/>
      <c r="BG17" s="88"/>
      <c r="BH17" s="88"/>
      <c r="BI17" s="88"/>
      <c r="BJ17" s="88"/>
      <c r="BK17" s="88"/>
      <c r="BL17" s="88"/>
      <c r="IR17" s="7">
        <f>AW17*0.0477631578947368</f>
        <v>0</v>
      </c>
      <c r="IS17" s="7">
        <f>AW17*(1-0.0477631578947368)</f>
        <v>0</v>
      </c>
    </row>
    <row r="18" spans="1:253" ht="12.75">
      <c r="A18" s="85" t="s">
        <v>12</v>
      </c>
      <c r="B18" s="86"/>
      <c r="C18" s="85" t="s">
        <v>74</v>
      </c>
      <c r="D18" s="86"/>
      <c r="E18" s="86"/>
      <c r="F18" s="86"/>
      <c r="G18" s="86"/>
      <c r="H18" s="86"/>
      <c r="I18" s="85" t="s">
        <v>162</v>
      </c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5" t="s">
        <v>243</v>
      </c>
      <c r="AQ18" s="86"/>
      <c r="AR18" s="87">
        <v>22</v>
      </c>
      <c r="AS18" s="88"/>
      <c r="AT18" s="88"/>
      <c r="AU18" s="88"/>
      <c r="AV18" s="88"/>
      <c r="AW18" s="87"/>
      <c r="AX18" s="88"/>
      <c r="AY18" s="88"/>
      <c r="AZ18" s="88"/>
      <c r="BA18" s="88"/>
      <c r="BB18" s="88"/>
      <c r="BC18" s="88"/>
      <c r="BD18" s="88"/>
      <c r="BE18" s="87">
        <f t="shared" si="0"/>
        <v>0</v>
      </c>
      <c r="BF18" s="88"/>
      <c r="BG18" s="88"/>
      <c r="BH18" s="88"/>
      <c r="BI18" s="88"/>
      <c r="BJ18" s="88"/>
      <c r="BK18" s="88"/>
      <c r="BL18" s="88"/>
      <c r="IR18" s="7">
        <f>AW18*0.242232558139535</f>
        <v>0</v>
      </c>
      <c r="IS18" s="7">
        <f>AW18*(1-0.242232558139535)</f>
        <v>0</v>
      </c>
    </row>
    <row r="19" spans="1:253" ht="12.75">
      <c r="A19" s="85" t="s">
        <v>13</v>
      </c>
      <c r="B19" s="86"/>
      <c r="C19" s="85" t="s">
        <v>75</v>
      </c>
      <c r="D19" s="86"/>
      <c r="E19" s="86"/>
      <c r="F19" s="86"/>
      <c r="G19" s="86"/>
      <c r="H19" s="86"/>
      <c r="I19" s="85" t="s">
        <v>163</v>
      </c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5" t="s">
        <v>242</v>
      </c>
      <c r="AQ19" s="86"/>
      <c r="AR19" s="87">
        <v>6.66</v>
      </c>
      <c r="AS19" s="88"/>
      <c r="AT19" s="88"/>
      <c r="AU19" s="88"/>
      <c r="AV19" s="88"/>
      <c r="AW19" s="87"/>
      <c r="AX19" s="88"/>
      <c r="AY19" s="88"/>
      <c r="AZ19" s="88"/>
      <c r="BA19" s="88"/>
      <c r="BB19" s="88"/>
      <c r="BC19" s="88"/>
      <c r="BD19" s="88"/>
      <c r="BE19" s="87">
        <f t="shared" si="0"/>
        <v>0</v>
      </c>
      <c r="BF19" s="88"/>
      <c r="BG19" s="88"/>
      <c r="BH19" s="88"/>
      <c r="BI19" s="88"/>
      <c r="BJ19" s="88"/>
      <c r="BK19" s="88"/>
      <c r="BL19" s="88"/>
      <c r="IR19" s="7">
        <f>AW19*0.293421052631579</f>
        <v>0</v>
      </c>
      <c r="IS19" s="7">
        <f>AW19*(1-0.293421052631579)</f>
        <v>0</v>
      </c>
    </row>
    <row r="20" spans="1:64" ht="12.75">
      <c r="A20" s="89" t="s">
        <v>6</v>
      </c>
      <c r="B20" s="90"/>
      <c r="C20" s="89" t="s">
        <v>76</v>
      </c>
      <c r="D20" s="90"/>
      <c r="E20" s="90"/>
      <c r="F20" s="90"/>
      <c r="G20" s="90"/>
      <c r="H20" s="90"/>
      <c r="I20" s="89" t="s">
        <v>164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89" t="s">
        <v>6</v>
      </c>
      <c r="AQ20" s="90"/>
      <c r="AR20" s="91" t="s">
        <v>6</v>
      </c>
      <c r="AS20" s="92"/>
      <c r="AT20" s="92"/>
      <c r="AU20" s="92"/>
      <c r="AV20" s="92"/>
      <c r="AW20" s="91" t="s">
        <v>6</v>
      </c>
      <c r="AX20" s="92"/>
      <c r="AY20" s="92"/>
      <c r="AZ20" s="92"/>
      <c r="BA20" s="92"/>
      <c r="BB20" s="92"/>
      <c r="BC20" s="92"/>
      <c r="BD20" s="92"/>
      <c r="BE20" s="93">
        <f>SUM(BE21:BE21)</f>
        <v>0</v>
      </c>
      <c r="BF20" s="92"/>
      <c r="BG20" s="92"/>
      <c r="BH20" s="92"/>
      <c r="BI20" s="92"/>
      <c r="BJ20" s="92"/>
      <c r="BK20" s="92"/>
      <c r="BL20" s="92"/>
    </row>
    <row r="21" spans="1:253" ht="12.75">
      <c r="A21" s="85" t="s">
        <v>14</v>
      </c>
      <c r="B21" s="86"/>
      <c r="C21" s="85" t="s">
        <v>77</v>
      </c>
      <c r="D21" s="86"/>
      <c r="E21" s="86"/>
      <c r="F21" s="86"/>
      <c r="G21" s="86"/>
      <c r="H21" s="86"/>
      <c r="I21" s="85" t="s">
        <v>165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5" t="s">
        <v>242</v>
      </c>
      <c r="AQ21" s="86"/>
      <c r="AR21" s="87">
        <v>16.28</v>
      </c>
      <c r="AS21" s="88"/>
      <c r="AT21" s="88"/>
      <c r="AU21" s="88"/>
      <c r="AV21" s="88"/>
      <c r="AW21" s="87"/>
      <c r="AX21" s="88"/>
      <c r="AY21" s="88"/>
      <c r="AZ21" s="88"/>
      <c r="BA21" s="88"/>
      <c r="BB21" s="88"/>
      <c r="BC21" s="88"/>
      <c r="BD21" s="88"/>
      <c r="BE21" s="87">
        <f>IR21*AR21+IS21*AR21</f>
        <v>0</v>
      </c>
      <c r="BF21" s="88"/>
      <c r="BG21" s="88"/>
      <c r="BH21" s="88"/>
      <c r="BI21" s="88"/>
      <c r="BJ21" s="88"/>
      <c r="BK21" s="88"/>
      <c r="BL21" s="88"/>
      <c r="IR21" s="7">
        <f>AW21*0.620425123861275</f>
        <v>0</v>
      </c>
      <c r="IS21" s="7">
        <f>AW21*(1-0.620425123861275)</f>
        <v>0</v>
      </c>
    </row>
    <row r="22" spans="1:64" ht="12.75">
      <c r="A22" s="89" t="s">
        <v>6</v>
      </c>
      <c r="B22" s="90"/>
      <c r="C22" s="89" t="s">
        <v>78</v>
      </c>
      <c r="D22" s="90"/>
      <c r="E22" s="90"/>
      <c r="F22" s="90"/>
      <c r="G22" s="90"/>
      <c r="H22" s="90"/>
      <c r="I22" s="89" t="s">
        <v>166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89" t="s">
        <v>6</v>
      </c>
      <c r="AQ22" s="90"/>
      <c r="AR22" s="91" t="s">
        <v>6</v>
      </c>
      <c r="AS22" s="92"/>
      <c r="AT22" s="92"/>
      <c r="AU22" s="92"/>
      <c r="AV22" s="92"/>
      <c r="AW22" s="91" t="s">
        <v>6</v>
      </c>
      <c r="AX22" s="92"/>
      <c r="AY22" s="92"/>
      <c r="AZ22" s="92"/>
      <c r="BA22" s="92"/>
      <c r="BB22" s="92"/>
      <c r="BC22" s="92"/>
      <c r="BD22" s="92"/>
      <c r="BE22" s="93">
        <f>SUM(BE23:BE23)</f>
        <v>0</v>
      </c>
      <c r="BF22" s="92"/>
      <c r="BG22" s="92"/>
      <c r="BH22" s="92"/>
      <c r="BI22" s="92"/>
      <c r="BJ22" s="92"/>
      <c r="BK22" s="92"/>
      <c r="BL22" s="92"/>
    </row>
    <row r="23" spans="1:253" ht="12.75">
      <c r="A23" s="85" t="s">
        <v>15</v>
      </c>
      <c r="B23" s="86"/>
      <c r="C23" s="85" t="s">
        <v>79</v>
      </c>
      <c r="D23" s="86"/>
      <c r="E23" s="86"/>
      <c r="F23" s="86"/>
      <c r="G23" s="86"/>
      <c r="H23" s="86"/>
      <c r="I23" s="85" t="s">
        <v>167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5" t="s">
        <v>244</v>
      </c>
      <c r="AQ23" s="86"/>
      <c r="AR23" s="87">
        <v>4</v>
      </c>
      <c r="AS23" s="88"/>
      <c r="AT23" s="88"/>
      <c r="AU23" s="88"/>
      <c r="AV23" s="88"/>
      <c r="AW23" s="87"/>
      <c r="AX23" s="88"/>
      <c r="AY23" s="88"/>
      <c r="AZ23" s="88"/>
      <c r="BA23" s="88"/>
      <c r="BB23" s="88"/>
      <c r="BC23" s="88"/>
      <c r="BD23" s="88"/>
      <c r="BE23" s="87">
        <f>IR23*AR23+IS23*AR23</f>
        <v>0</v>
      </c>
      <c r="BF23" s="88"/>
      <c r="BG23" s="88"/>
      <c r="BH23" s="88"/>
      <c r="BI23" s="88"/>
      <c r="BJ23" s="88"/>
      <c r="BK23" s="88"/>
      <c r="BL23" s="88"/>
      <c r="IR23" s="7">
        <f>AW23*0.726509081544369</f>
        <v>0</v>
      </c>
      <c r="IS23" s="7">
        <f>AW23*(1-0.726509081544369)</f>
        <v>0</v>
      </c>
    </row>
    <row r="24" spans="1:64" ht="12.75">
      <c r="A24" s="89" t="s">
        <v>6</v>
      </c>
      <c r="B24" s="90"/>
      <c r="C24" s="89" t="s">
        <v>80</v>
      </c>
      <c r="D24" s="90"/>
      <c r="E24" s="90"/>
      <c r="F24" s="90"/>
      <c r="G24" s="90"/>
      <c r="H24" s="90"/>
      <c r="I24" s="89" t="s">
        <v>168</v>
      </c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89" t="s">
        <v>6</v>
      </c>
      <c r="AQ24" s="90"/>
      <c r="AR24" s="91" t="s">
        <v>6</v>
      </c>
      <c r="AS24" s="92"/>
      <c r="AT24" s="92"/>
      <c r="AU24" s="92"/>
      <c r="AV24" s="92"/>
      <c r="AW24" s="91" t="s">
        <v>6</v>
      </c>
      <c r="AX24" s="92"/>
      <c r="AY24" s="92"/>
      <c r="AZ24" s="92"/>
      <c r="BA24" s="92"/>
      <c r="BB24" s="92"/>
      <c r="BC24" s="92"/>
      <c r="BD24" s="92"/>
      <c r="BE24" s="93">
        <f>SUM(BE25:BE27)</f>
        <v>0</v>
      </c>
      <c r="BF24" s="92"/>
      <c r="BG24" s="92"/>
      <c r="BH24" s="92"/>
      <c r="BI24" s="92"/>
      <c r="BJ24" s="92"/>
      <c r="BK24" s="92"/>
      <c r="BL24" s="92"/>
    </row>
    <row r="25" spans="1:253" ht="12.75">
      <c r="A25" s="85" t="s">
        <v>16</v>
      </c>
      <c r="B25" s="86"/>
      <c r="C25" s="85" t="s">
        <v>81</v>
      </c>
      <c r="D25" s="86"/>
      <c r="E25" s="86"/>
      <c r="F25" s="86"/>
      <c r="G25" s="86"/>
      <c r="H25" s="86"/>
      <c r="I25" s="85" t="s">
        <v>169</v>
      </c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5" t="s">
        <v>243</v>
      </c>
      <c r="AQ25" s="86"/>
      <c r="AR25" s="87">
        <v>14</v>
      </c>
      <c r="AS25" s="88"/>
      <c r="AT25" s="88"/>
      <c r="AU25" s="88"/>
      <c r="AV25" s="88"/>
      <c r="AW25" s="87"/>
      <c r="AX25" s="88"/>
      <c r="AY25" s="88"/>
      <c r="AZ25" s="88"/>
      <c r="BA25" s="88"/>
      <c r="BB25" s="88"/>
      <c r="BC25" s="88"/>
      <c r="BD25" s="88"/>
      <c r="BE25" s="87">
        <f>IR25*AR25+IS25*AR25</f>
        <v>0</v>
      </c>
      <c r="BF25" s="88"/>
      <c r="BG25" s="88"/>
      <c r="BH25" s="88"/>
      <c r="BI25" s="88"/>
      <c r="BJ25" s="88"/>
      <c r="BK25" s="88"/>
      <c r="BL25" s="88"/>
      <c r="IR25" s="7">
        <f>AW25*0</f>
        <v>0</v>
      </c>
      <c r="IS25" s="7">
        <f>AW25*(1-0)</f>
        <v>0</v>
      </c>
    </row>
    <row r="26" spans="1:253" ht="12.75">
      <c r="A26" s="85" t="s">
        <v>17</v>
      </c>
      <c r="B26" s="86"/>
      <c r="C26" s="85" t="s">
        <v>82</v>
      </c>
      <c r="D26" s="86"/>
      <c r="E26" s="86"/>
      <c r="F26" s="86"/>
      <c r="G26" s="86"/>
      <c r="H26" s="86"/>
      <c r="I26" s="85" t="s">
        <v>170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5" t="s">
        <v>243</v>
      </c>
      <c r="AQ26" s="86"/>
      <c r="AR26" s="87">
        <v>16</v>
      </c>
      <c r="AS26" s="88"/>
      <c r="AT26" s="88"/>
      <c r="AU26" s="88"/>
      <c r="AV26" s="88"/>
      <c r="AW26" s="87"/>
      <c r="AX26" s="88"/>
      <c r="AY26" s="88"/>
      <c r="AZ26" s="88"/>
      <c r="BA26" s="88"/>
      <c r="BB26" s="88"/>
      <c r="BC26" s="88"/>
      <c r="BD26" s="88"/>
      <c r="BE26" s="87">
        <f>IR26*AR26+IS26*AR26</f>
        <v>0</v>
      </c>
      <c r="BF26" s="88"/>
      <c r="BG26" s="88"/>
      <c r="BH26" s="88"/>
      <c r="BI26" s="88"/>
      <c r="BJ26" s="88"/>
      <c r="BK26" s="88"/>
      <c r="BL26" s="88"/>
      <c r="IR26" s="7">
        <f>AW26*0.472152466367713</f>
        <v>0</v>
      </c>
      <c r="IS26" s="7">
        <f>AW26*(1-0.472152466367713)</f>
        <v>0</v>
      </c>
    </row>
    <row r="27" spans="1:253" ht="12.75">
      <c r="A27" s="85" t="s">
        <v>18</v>
      </c>
      <c r="B27" s="86"/>
      <c r="C27" s="85" t="s">
        <v>83</v>
      </c>
      <c r="D27" s="86"/>
      <c r="E27" s="86"/>
      <c r="F27" s="86"/>
      <c r="G27" s="86"/>
      <c r="H27" s="86"/>
      <c r="I27" s="85" t="s">
        <v>171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5" t="s">
        <v>245</v>
      </c>
      <c r="AQ27" s="86"/>
      <c r="AR27" s="87">
        <v>1</v>
      </c>
      <c r="AS27" s="88"/>
      <c r="AT27" s="88"/>
      <c r="AU27" s="88"/>
      <c r="AV27" s="88"/>
      <c r="AW27" s="87"/>
      <c r="AX27" s="88"/>
      <c r="AY27" s="88"/>
      <c r="AZ27" s="88"/>
      <c r="BA27" s="88"/>
      <c r="BB27" s="88"/>
      <c r="BC27" s="88"/>
      <c r="BD27" s="88"/>
      <c r="BE27" s="87">
        <f>IR27*AR27+IS27*AR27</f>
        <v>0</v>
      </c>
      <c r="BF27" s="88"/>
      <c r="BG27" s="88"/>
      <c r="BH27" s="88"/>
      <c r="BI27" s="88"/>
      <c r="BJ27" s="88"/>
      <c r="BK27" s="88"/>
      <c r="BL27" s="88"/>
      <c r="IR27" s="7">
        <f>AW27*0.0264693333333333</f>
        <v>0</v>
      </c>
      <c r="IS27" s="7">
        <f>AW27*(1-0.0264693333333333)</f>
        <v>0</v>
      </c>
    </row>
    <row r="28" spans="1:64" ht="12.75">
      <c r="A28" s="89" t="s">
        <v>6</v>
      </c>
      <c r="B28" s="90"/>
      <c r="C28" s="89" t="s">
        <v>84</v>
      </c>
      <c r="D28" s="90"/>
      <c r="E28" s="90"/>
      <c r="F28" s="90"/>
      <c r="G28" s="90"/>
      <c r="H28" s="90"/>
      <c r="I28" s="89" t="s">
        <v>172</v>
      </c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89" t="s">
        <v>6</v>
      </c>
      <c r="AQ28" s="90"/>
      <c r="AR28" s="91" t="s">
        <v>6</v>
      </c>
      <c r="AS28" s="92"/>
      <c r="AT28" s="92"/>
      <c r="AU28" s="92"/>
      <c r="AV28" s="92"/>
      <c r="AW28" s="91" t="s">
        <v>6</v>
      </c>
      <c r="AX28" s="92"/>
      <c r="AY28" s="92"/>
      <c r="AZ28" s="92"/>
      <c r="BA28" s="92"/>
      <c r="BB28" s="92"/>
      <c r="BC28" s="92"/>
      <c r="BD28" s="92"/>
      <c r="BE28" s="93">
        <f>SUM(BE29:BE29)</f>
        <v>0</v>
      </c>
      <c r="BF28" s="92"/>
      <c r="BG28" s="92"/>
      <c r="BH28" s="92"/>
      <c r="BI28" s="92"/>
      <c r="BJ28" s="92"/>
      <c r="BK28" s="92"/>
      <c r="BL28" s="92"/>
    </row>
    <row r="29" spans="1:253" ht="12.75">
      <c r="A29" s="85" t="s">
        <v>19</v>
      </c>
      <c r="B29" s="86"/>
      <c r="C29" s="85" t="s">
        <v>85</v>
      </c>
      <c r="D29" s="86"/>
      <c r="E29" s="86"/>
      <c r="F29" s="86"/>
      <c r="G29" s="86"/>
      <c r="H29" s="86"/>
      <c r="I29" s="85" t="s">
        <v>173</v>
      </c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5" t="s">
        <v>245</v>
      </c>
      <c r="AQ29" s="86"/>
      <c r="AR29" s="87">
        <v>1</v>
      </c>
      <c r="AS29" s="88"/>
      <c r="AT29" s="88"/>
      <c r="AU29" s="88"/>
      <c r="AV29" s="88"/>
      <c r="AW29" s="87"/>
      <c r="AX29" s="88"/>
      <c r="AY29" s="88"/>
      <c r="AZ29" s="88"/>
      <c r="BA29" s="88"/>
      <c r="BB29" s="88"/>
      <c r="BC29" s="88"/>
      <c r="BD29" s="88"/>
      <c r="BE29" s="87">
        <f>IR29*AR29+IS29*AR29</f>
        <v>0</v>
      </c>
      <c r="BF29" s="88"/>
      <c r="BG29" s="88"/>
      <c r="BH29" s="88"/>
      <c r="BI29" s="88"/>
      <c r="BJ29" s="88"/>
      <c r="BK29" s="88"/>
      <c r="BL29" s="88"/>
      <c r="IR29" s="7">
        <f>AW29*0.956554666666667</f>
        <v>0</v>
      </c>
      <c r="IS29" s="7">
        <f>AW29*(1-0.956554666666667)</f>
        <v>0</v>
      </c>
    </row>
    <row r="30" spans="1:64" ht="12.75">
      <c r="A30" s="89" t="s">
        <v>6</v>
      </c>
      <c r="B30" s="90"/>
      <c r="C30" s="89" t="s">
        <v>86</v>
      </c>
      <c r="D30" s="90"/>
      <c r="E30" s="90"/>
      <c r="F30" s="90"/>
      <c r="G30" s="90"/>
      <c r="H30" s="90"/>
      <c r="I30" s="89" t="s">
        <v>174</v>
      </c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89" t="s">
        <v>6</v>
      </c>
      <c r="AQ30" s="90"/>
      <c r="AR30" s="91" t="s">
        <v>6</v>
      </c>
      <c r="AS30" s="92"/>
      <c r="AT30" s="92"/>
      <c r="AU30" s="92"/>
      <c r="AV30" s="92"/>
      <c r="AW30" s="91" t="s">
        <v>6</v>
      </c>
      <c r="AX30" s="92"/>
      <c r="AY30" s="92"/>
      <c r="AZ30" s="92"/>
      <c r="BA30" s="92"/>
      <c r="BB30" s="92"/>
      <c r="BC30" s="92"/>
      <c r="BD30" s="92"/>
      <c r="BE30" s="93">
        <f>SUM(BE31:BE34)</f>
        <v>0</v>
      </c>
      <c r="BF30" s="92"/>
      <c r="BG30" s="92"/>
      <c r="BH30" s="92"/>
      <c r="BI30" s="92"/>
      <c r="BJ30" s="92"/>
      <c r="BK30" s="92"/>
      <c r="BL30" s="92"/>
    </row>
    <row r="31" spans="1:253" ht="12.75">
      <c r="A31" s="85" t="s">
        <v>20</v>
      </c>
      <c r="B31" s="86"/>
      <c r="C31" s="85" t="s">
        <v>87</v>
      </c>
      <c r="D31" s="86"/>
      <c r="E31" s="86"/>
      <c r="F31" s="86"/>
      <c r="G31" s="86"/>
      <c r="H31" s="86"/>
      <c r="I31" s="85" t="s">
        <v>175</v>
      </c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5" t="s">
        <v>246</v>
      </c>
      <c r="AQ31" s="86"/>
      <c r="AR31" s="87">
        <v>4</v>
      </c>
      <c r="AS31" s="88"/>
      <c r="AT31" s="88"/>
      <c r="AU31" s="88"/>
      <c r="AV31" s="88"/>
      <c r="AW31" s="87"/>
      <c r="AX31" s="88"/>
      <c r="AY31" s="88"/>
      <c r="AZ31" s="88"/>
      <c r="BA31" s="88"/>
      <c r="BB31" s="88"/>
      <c r="BC31" s="88"/>
      <c r="BD31" s="88"/>
      <c r="BE31" s="87">
        <f>IR31*AR31+IS31*AR31</f>
        <v>0</v>
      </c>
      <c r="BF31" s="88"/>
      <c r="BG31" s="88"/>
      <c r="BH31" s="88"/>
      <c r="BI31" s="88"/>
      <c r="BJ31" s="88"/>
      <c r="BK31" s="88"/>
      <c r="BL31" s="88"/>
      <c r="IR31" s="7">
        <f>AW31*0</f>
        <v>0</v>
      </c>
      <c r="IS31" s="7">
        <f>AW31*(1-0)</f>
        <v>0</v>
      </c>
    </row>
    <row r="32" spans="1:253" ht="12.75">
      <c r="A32" s="85" t="s">
        <v>21</v>
      </c>
      <c r="B32" s="86"/>
      <c r="C32" s="85" t="s">
        <v>88</v>
      </c>
      <c r="D32" s="86"/>
      <c r="E32" s="86"/>
      <c r="F32" s="86"/>
      <c r="G32" s="86"/>
      <c r="H32" s="86"/>
      <c r="I32" s="85" t="s">
        <v>176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5" t="s">
        <v>246</v>
      </c>
      <c r="AQ32" s="86"/>
      <c r="AR32" s="87">
        <v>1</v>
      </c>
      <c r="AS32" s="88"/>
      <c r="AT32" s="88"/>
      <c r="AU32" s="88"/>
      <c r="AV32" s="88"/>
      <c r="AW32" s="87"/>
      <c r="AX32" s="88"/>
      <c r="AY32" s="88"/>
      <c r="AZ32" s="88"/>
      <c r="BA32" s="88"/>
      <c r="BB32" s="88"/>
      <c r="BC32" s="88"/>
      <c r="BD32" s="88"/>
      <c r="BE32" s="87">
        <f>IR32*AR32+IS32*AR32</f>
        <v>0</v>
      </c>
      <c r="BF32" s="88"/>
      <c r="BG32" s="88"/>
      <c r="BH32" s="88"/>
      <c r="BI32" s="88"/>
      <c r="BJ32" s="88"/>
      <c r="BK32" s="88"/>
      <c r="BL32" s="88"/>
      <c r="IR32" s="7">
        <f>AW32*0</f>
        <v>0</v>
      </c>
      <c r="IS32" s="7">
        <f>AW32*(1-0)</f>
        <v>0</v>
      </c>
    </row>
    <row r="33" spans="1:253" ht="12.75">
      <c r="A33" s="85" t="s">
        <v>22</v>
      </c>
      <c r="B33" s="86"/>
      <c r="C33" s="85" t="s">
        <v>89</v>
      </c>
      <c r="D33" s="86"/>
      <c r="E33" s="86"/>
      <c r="F33" s="86"/>
      <c r="G33" s="86"/>
      <c r="H33" s="86"/>
      <c r="I33" s="85" t="s">
        <v>177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5" t="s">
        <v>246</v>
      </c>
      <c r="AQ33" s="86"/>
      <c r="AR33" s="87">
        <v>4</v>
      </c>
      <c r="AS33" s="88"/>
      <c r="AT33" s="88"/>
      <c r="AU33" s="88"/>
      <c r="AV33" s="88"/>
      <c r="AW33" s="87"/>
      <c r="AX33" s="88"/>
      <c r="AY33" s="88"/>
      <c r="AZ33" s="88"/>
      <c r="BA33" s="88"/>
      <c r="BB33" s="88"/>
      <c r="BC33" s="88"/>
      <c r="BD33" s="88"/>
      <c r="BE33" s="87">
        <f>IR33*AR33+IS33*AR33</f>
        <v>0</v>
      </c>
      <c r="BF33" s="88"/>
      <c r="BG33" s="88"/>
      <c r="BH33" s="88"/>
      <c r="BI33" s="88"/>
      <c r="BJ33" s="88"/>
      <c r="BK33" s="88"/>
      <c r="BL33" s="88"/>
      <c r="IR33" s="7">
        <f>AW33*0.855227356746765</f>
        <v>0</v>
      </c>
      <c r="IS33" s="7">
        <f>AW33*(1-0.855227356746765)</f>
        <v>0</v>
      </c>
    </row>
    <row r="34" spans="1:253" ht="12.75">
      <c r="A34" s="85" t="s">
        <v>23</v>
      </c>
      <c r="B34" s="86"/>
      <c r="C34" s="85" t="s">
        <v>90</v>
      </c>
      <c r="D34" s="86"/>
      <c r="E34" s="86"/>
      <c r="F34" s="86"/>
      <c r="G34" s="86"/>
      <c r="H34" s="86"/>
      <c r="I34" s="85" t="s">
        <v>178</v>
      </c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5" t="s">
        <v>246</v>
      </c>
      <c r="AQ34" s="86"/>
      <c r="AR34" s="87">
        <v>6</v>
      </c>
      <c r="AS34" s="88"/>
      <c r="AT34" s="88"/>
      <c r="AU34" s="88"/>
      <c r="AV34" s="88"/>
      <c r="AW34" s="87"/>
      <c r="AX34" s="88"/>
      <c r="AY34" s="88"/>
      <c r="AZ34" s="88"/>
      <c r="BA34" s="88"/>
      <c r="BB34" s="88"/>
      <c r="BC34" s="88"/>
      <c r="BD34" s="88"/>
      <c r="BE34" s="87">
        <f>IR34*AR34+IS34*AR34</f>
        <v>0</v>
      </c>
      <c r="BF34" s="88"/>
      <c r="BG34" s="88"/>
      <c r="BH34" s="88"/>
      <c r="BI34" s="88"/>
      <c r="BJ34" s="88"/>
      <c r="BK34" s="88"/>
      <c r="BL34" s="88"/>
      <c r="IR34" s="7">
        <f>AW34*0.948982558139535</f>
        <v>0</v>
      </c>
      <c r="IS34" s="7">
        <f>AW34*(1-0.948982558139535)</f>
        <v>0</v>
      </c>
    </row>
    <row r="35" spans="1:64" ht="12.75">
      <c r="A35" s="89" t="s">
        <v>6</v>
      </c>
      <c r="B35" s="90"/>
      <c r="C35" s="89" t="s">
        <v>91</v>
      </c>
      <c r="D35" s="90"/>
      <c r="E35" s="90"/>
      <c r="F35" s="90"/>
      <c r="G35" s="90"/>
      <c r="H35" s="90"/>
      <c r="I35" s="89" t="s">
        <v>179</v>
      </c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89" t="s">
        <v>6</v>
      </c>
      <c r="AQ35" s="90"/>
      <c r="AR35" s="91" t="s">
        <v>6</v>
      </c>
      <c r="AS35" s="92"/>
      <c r="AT35" s="92"/>
      <c r="AU35" s="92"/>
      <c r="AV35" s="92"/>
      <c r="AW35" s="91" t="s">
        <v>6</v>
      </c>
      <c r="AX35" s="92"/>
      <c r="AY35" s="92"/>
      <c r="AZ35" s="92"/>
      <c r="BA35" s="92"/>
      <c r="BB35" s="92"/>
      <c r="BC35" s="92"/>
      <c r="BD35" s="92"/>
      <c r="BE35" s="93">
        <f>SUM(BE36:BE36)</f>
        <v>0</v>
      </c>
      <c r="BF35" s="92"/>
      <c r="BG35" s="92"/>
      <c r="BH35" s="92"/>
      <c r="BI35" s="92"/>
      <c r="BJ35" s="92"/>
      <c r="BK35" s="92"/>
      <c r="BL35" s="92"/>
    </row>
    <row r="36" spans="1:253" ht="12.75">
      <c r="A36" s="85" t="s">
        <v>24</v>
      </c>
      <c r="B36" s="86"/>
      <c r="C36" s="85" t="s">
        <v>92</v>
      </c>
      <c r="D36" s="86"/>
      <c r="E36" s="86"/>
      <c r="F36" s="86"/>
      <c r="G36" s="86"/>
      <c r="H36" s="86"/>
      <c r="I36" s="85" t="s">
        <v>180</v>
      </c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5" t="s">
        <v>245</v>
      </c>
      <c r="AQ36" s="86"/>
      <c r="AR36" s="87">
        <v>1</v>
      </c>
      <c r="AS36" s="88"/>
      <c r="AT36" s="88"/>
      <c r="AU36" s="88"/>
      <c r="AV36" s="88"/>
      <c r="AW36" s="87"/>
      <c r="AX36" s="88"/>
      <c r="AY36" s="88"/>
      <c r="AZ36" s="88"/>
      <c r="BA36" s="88"/>
      <c r="BB36" s="88"/>
      <c r="BC36" s="88"/>
      <c r="BD36" s="88"/>
      <c r="BE36" s="87">
        <f>IR36*AR36+IS36*AR36</f>
        <v>0</v>
      </c>
      <c r="BF36" s="88"/>
      <c r="BG36" s="88"/>
      <c r="BH36" s="88"/>
      <c r="BI36" s="88"/>
      <c r="BJ36" s="88"/>
      <c r="BK36" s="88"/>
      <c r="BL36" s="88"/>
      <c r="IR36" s="7">
        <f>AW36*0.13132</f>
        <v>0</v>
      </c>
      <c r="IS36" s="7">
        <f>AW36*(1-0.13132)</f>
        <v>0</v>
      </c>
    </row>
    <row r="37" spans="1:64" ht="12.75">
      <c r="A37" s="89" t="s">
        <v>6</v>
      </c>
      <c r="B37" s="90"/>
      <c r="C37" s="89" t="s">
        <v>93</v>
      </c>
      <c r="D37" s="90"/>
      <c r="E37" s="90"/>
      <c r="F37" s="90"/>
      <c r="G37" s="90"/>
      <c r="H37" s="90"/>
      <c r="I37" s="89" t="s">
        <v>181</v>
      </c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89" t="s">
        <v>6</v>
      </c>
      <c r="AQ37" s="90"/>
      <c r="AR37" s="91" t="s">
        <v>6</v>
      </c>
      <c r="AS37" s="92"/>
      <c r="AT37" s="92"/>
      <c r="AU37" s="92"/>
      <c r="AV37" s="92"/>
      <c r="AW37" s="91" t="s">
        <v>6</v>
      </c>
      <c r="AX37" s="92"/>
      <c r="AY37" s="92"/>
      <c r="AZ37" s="92"/>
      <c r="BA37" s="92"/>
      <c r="BB37" s="92"/>
      <c r="BC37" s="92"/>
      <c r="BD37" s="92"/>
      <c r="BE37" s="93">
        <f>SUM(BE38:BE40)</f>
        <v>0</v>
      </c>
      <c r="BF37" s="92"/>
      <c r="BG37" s="92"/>
      <c r="BH37" s="92"/>
      <c r="BI37" s="92"/>
      <c r="BJ37" s="92"/>
      <c r="BK37" s="92"/>
      <c r="BL37" s="92"/>
    </row>
    <row r="38" spans="1:253" ht="12.75">
      <c r="A38" s="85" t="s">
        <v>25</v>
      </c>
      <c r="B38" s="86"/>
      <c r="C38" s="85" t="s">
        <v>94</v>
      </c>
      <c r="D38" s="86"/>
      <c r="E38" s="86"/>
      <c r="F38" s="86"/>
      <c r="G38" s="86"/>
      <c r="H38" s="86"/>
      <c r="I38" s="85" t="s">
        <v>182</v>
      </c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5" t="s">
        <v>244</v>
      </c>
      <c r="AQ38" s="86"/>
      <c r="AR38" s="87">
        <v>1</v>
      </c>
      <c r="AS38" s="88"/>
      <c r="AT38" s="88"/>
      <c r="AU38" s="88"/>
      <c r="AV38" s="88"/>
      <c r="AW38" s="87"/>
      <c r="AX38" s="88"/>
      <c r="AY38" s="88"/>
      <c r="AZ38" s="88"/>
      <c r="BA38" s="88"/>
      <c r="BB38" s="88"/>
      <c r="BC38" s="88"/>
      <c r="BD38" s="88"/>
      <c r="BE38" s="87">
        <f>IR38*AR38+IS38*AR38</f>
        <v>0</v>
      </c>
      <c r="BF38" s="88"/>
      <c r="BG38" s="88"/>
      <c r="BH38" s="88"/>
      <c r="BI38" s="88"/>
      <c r="BJ38" s="88"/>
      <c r="BK38" s="88"/>
      <c r="BL38" s="88"/>
      <c r="IR38" s="7">
        <f>AW38*0.102542857142857</f>
        <v>0</v>
      </c>
      <c r="IS38" s="7">
        <f>AW38*(1-0.102542857142857)</f>
        <v>0</v>
      </c>
    </row>
    <row r="39" spans="1:253" ht="12.75">
      <c r="A39" s="85" t="s">
        <v>26</v>
      </c>
      <c r="B39" s="86"/>
      <c r="C39" s="85" t="s">
        <v>95</v>
      </c>
      <c r="D39" s="86"/>
      <c r="E39" s="86"/>
      <c r="F39" s="86"/>
      <c r="G39" s="86"/>
      <c r="H39" s="86"/>
      <c r="I39" s="85" t="s">
        <v>183</v>
      </c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5" t="s">
        <v>244</v>
      </c>
      <c r="AQ39" s="86"/>
      <c r="AR39" s="87">
        <v>1</v>
      </c>
      <c r="AS39" s="88"/>
      <c r="AT39" s="88"/>
      <c r="AU39" s="88"/>
      <c r="AV39" s="88"/>
      <c r="AW39" s="87"/>
      <c r="AX39" s="88"/>
      <c r="AY39" s="88"/>
      <c r="AZ39" s="88"/>
      <c r="BA39" s="88"/>
      <c r="BB39" s="88"/>
      <c r="BC39" s="88"/>
      <c r="BD39" s="88"/>
      <c r="BE39" s="87">
        <f>IR39*AR39+IS39*AR39</f>
        <v>0</v>
      </c>
      <c r="BF39" s="88"/>
      <c r="BG39" s="88"/>
      <c r="BH39" s="88"/>
      <c r="BI39" s="88"/>
      <c r="BJ39" s="88"/>
      <c r="BK39" s="88"/>
      <c r="BL39" s="88"/>
      <c r="IR39" s="7">
        <f>AW39*0.926269430051814</f>
        <v>0</v>
      </c>
      <c r="IS39" s="7">
        <f>AW39*(1-0.926269430051814)</f>
        <v>0</v>
      </c>
    </row>
    <row r="40" spans="1:253" ht="12.75">
      <c r="A40" s="85" t="s">
        <v>27</v>
      </c>
      <c r="B40" s="86"/>
      <c r="C40" s="85" t="s">
        <v>96</v>
      </c>
      <c r="D40" s="86"/>
      <c r="E40" s="86"/>
      <c r="F40" s="86"/>
      <c r="G40" s="86"/>
      <c r="H40" s="86"/>
      <c r="I40" s="85" t="s">
        <v>184</v>
      </c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5" t="s">
        <v>246</v>
      </c>
      <c r="AQ40" s="86"/>
      <c r="AR40" s="87">
        <v>1</v>
      </c>
      <c r="AS40" s="88"/>
      <c r="AT40" s="88"/>
      <c r="AU40" s="88"/>
      <c r="AV40" s="88"/>
      <c r="AW40" s="87"/>
      <c r="AX40" s="88"/>
      <c r="AY40" s="88"/>
      <c r="AZ40" s="88"/>
      <c r="BA40" s="88"/>
      <c r="BB40" s="88"/>
      <c r="BC40" s="88"/>
      <c r="BD40" s="88"/>
      <c r="BE40" s="87">
        <f>IR40*AR40+IS40*AR40</f>
        <v>0</v>
      </c>
      <c r="BF40" s="88"/>
      <c r="BG40" s="88"/>
      <c r="BH40" s="88"/>
      <c r="BI40" s="88"/>
      <c r="BJ40" s="88"/>
      <c r="BK40" s="88"/>
      <c r="BL40" s="88"/>
      <c r="IR40" s="7">
        <f>AW40*0.416760330578512</f>
        <v>0</v>
      </c>
      <c r="IS40" s="7">
        <f>AW40*(1-0.416760330578512)</f>
        <v>0</v>
      </c>
    </row>
    <row r="41" spans="1:64" ht="12.75">
      <c r="A41" s="89" t="s">
        <v>6</v>
      </c>
      <c r="B41" s="90"/>
      <c r="C41" s="89" t="s">
        <v>97</v>
      </c>
      <c r="D41" s="90"/>
      <c r="E41" s="90"/>
      <c r="F41" s="90"/>
      <c r="G41" s="90"/>
      <c r="H41" s="90"/>
      <c r="I41" s="89" t="s">
        <v>185</v>
      </c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89" t="s">
        <v>6</v>
      </c>
      <c r="AQ41" s="90"/>
      <c r="AR41" s="91" t="s">
        <v>6</v>
      </c>
      <c r="AS41" s="92"/>
      <c r="AT41" s="92"/>
      <c r="AU41" s="92"/>
      <c r="AV41" s="92"/>
      <c r="AW41" s="91" t="s">
        <v>6</v>
      </c>
      <c r="AX41" s="92"/>
      <c r="AY41" s="92"/>
      <c r="AZ41" s="92"/>
      <c r="BA41" s="92"/>
      <c r="BB41" s="92"/>
      <c r="BC41" s="92"/>
      <c r="BD41" s="92"/>
      <c r="BE41" s="93">
        <f>SUM(BE42:BE43)</f>
        <v>0</v>
      </c>
      <c r="BF41" s="92"/>
      <c r="BG41" s="92"/>
      <c r="BH41" s="92"/>
      <c r="BI41" s="92"/>
      <c r="BJ41" s="92"/>
      <c r="BK41" s="92"/>
      <c r="BL41" s="92"/>
    </row>
    <row r="42" spans="1:253" ht="12.75">
      <c r="A42" s="85" t="s">
        <v>28</v>
      </c>
      <c r="B42" s="86"/>
      <c r="C42" s="85" t="s">
        <v>98</v>
      </c>
      <c r="D42" s="86"/>
      <c r="E42" s="86"/>
      <c r="F42" s="86"/>
      <c r="G42" s="86"/>
      <c r="H42" s="86"/>
      <c r="I42" s="85" t="s">
        <v>186</v>
      </c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5" t="s">
        <v>244</v>
      </c>
      <c r="AQ42" s="86"/>
      <c r="AR42" s="87">
        <v>5</v>
      </c>
      <c r="AS42" s="88"/>
      <c r="AT42" s="88"/>
      <c r="AU42" s="88"/>
      <c r="AV42" s="88"/>
      <c r="AW42" s="87"/>
      <c r="AX42" s="88"/>
      <c r="AY42" s="88"/>
      <c r="AZ42" s="88"/>
      <c r="BA42" s="88"/>
      <c r="BB42" s="88"/>
      <c r="BC42" s="88"/>
      <c r="BD42" s="88"/>
      <c r="BE42" s="87">
        <f>IR42*AR42+IS42*AR42</f>
        <v>0</v>
      </c>
      <c r="BF42" s="88"/>
      <c r="BG42" s="88"/>
      <c r="BH42" s="88"/>
      <c r="BI42" s="88"/>
      <c r="BJ42" s="88"/>
      <c r="BK42" s="88"/>
      <c r="BL42" s="88"/>
      <c r="IR42" s="7">
        <f>AW42*0</f>
        <v>0</v>
      </c>
      <c r="IS42" s="7">
        <f>AW42*(1-0)</f>
        <v>0</v>
      </c>
    </row>
    <row r="43" spans="1:253" ht="12.75">
      <c r="A43" s="85" t="s">
        <v>29</v>
      </c>
      <c r="B43" s="86"/>
      <c r="C43" s="85" t="s">
        <v>99</v>
      </c>
      <c r="D43" s="86"/>
      <c r="E43" s="86"/>
      <c r="F43" s="86"/>
      <c r="G43" s="86"/>
      <c r="H43" s="86"/>
      <c r="I43" s="85" t="s">
        <v>187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5" t="s">
        <v>244</v>
      </c>
      <c r="AQ43" s="86"/>
      <c r="AR43" s="87">
        <v>5</v>
      </c>
      <c r="AS43" s="88"/>
      <c r="AT43" s="88"/>
      <c r="AU43" s="88"/>
      <c r="AV43" s="88"/>
      <c r="AW43" s="87"/>
      <c r="AX43" s="88"/>
      <c r="AY43" s="88"/>
      <c r="AZ43" s="88"/>
      <c r="BA43" s="88"/>
      <c r="BB43" s="88"/>
      <c r="BC43" s="88"/>
      <c r="BD43" s="88"/>
      <c r="BE43" s="87">
        <f>IR43*AR43+IS43*AR43</f>
        <v>0</v>
      </c>
      <c r="BF43" s="88"/>
      <c r="BG43" s="88"/>
      <c r="BH43" s="88"/>
      <c r="BI43" s="88"/>
      <c r="BJ43" s="88"/>
      <c r="BK43" s="88"/>
      <c r="BL43" s="88"/>
      <c r="IR43" s="7">
        <f>AW43*0</f>
        <v>0</v>
      </c>
      <c r="IS43" s="7">
        <f>AW43*(1-0)</f>
        <v>0</v>
      </c>
    </row>
    <row r="44" spans="1:64" ht="12.75">
      <c r="A44" s="89" t="s">
        <v>6</v>
      </c>
      <c r="B44" s="90"/>
      <c r="C44" s="89" t="s">
        <v>100</v>
      </c>
      <c r="D44" s="90"/>
      <c r="E44" s="90"/>
      <c r="F44" s="90"/>
      <c r="G44" s="90"/>
      <c r="H44" s="90"/>
      <c r="I44" s="89" t="s">
        <v>188</v>
      </c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89" t="s">
        <v>6</v>
      </c>
      <c r="AQ44" s="90"/>
      <c r="AR44" s="91" t="s">
        <v>6</v>
      </c>
      <c r="AS44" s="92"/>
      <c r="AT44" s="92"/>
      <c r="AU44" s="92"/>
      <c r="AV44" s="92"/>
      <c r="AW44" s="91" t="s">
        <v>6</v>
      </c>
      <c r="AX44" s="92"/>
      <c r="AY44" s="92"/>
      <c r="AZ44" s="92"/>
      <c r="BA44" s="92"/>
      <c r="BB44" s="92"/>
      <c r="BC44" s="92"/>
      <c r="BD44" s="92"/>
      <c r="BE44" s="93">
        <f>SUM(BE45:BE48)</f>
        <v>0</v>
      </c>
      <c r="BF44" s="92"/>
      <c r="BG44" s="92"/>
      <c r="BH44" s="92"/>
      <c r="BI44" s="92"/>
      <c r="BJ44" s="92"/>
      <c r="BK44" s="92"/>
      <c r="BL44" s="92"/>
    </row>
    <row r="45" spans="1:253" ht="12.75">
      <c r="A45" s="85" t="s">
        <v>30</v>
      </c>
      <c r="B45" s="86"/>
      <c r="C45" s="85" t="s">
        <v>101</v>
      </c>
      <c r="D45" s="86"/>
      <c r="E45" s="86"/>
      <c r="F45" s="86"/>
      <c r="G45" s="86"/>
      <c r="H45" s="86"/>
      <c r="I45" s="85" t="s">
        <v>189</v>
      </c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5" t="s">
        <v>242</v>
      </c>
      <c r="AQ45" s="86"/>
      <c r="AR45" s="87">
        <v>16.28</v>
      </c>
      <c r="AS45" s="88"/>
      <c r="AT45" s="88"/>
      <c r="AU45" s="88"/>
      <c r="AV45" s="88"/>
      <c r="AW45" s="87"/>
      <c r="AX45" s="88"/>
      <c r="AY45" s="88"/>
      <c r="AZ45" s="88"/>
      <c r="BA45" s="88"/>
      <c r="BB45" s="88"/>
      <c r="BC45" s="88"/>
      <c r="BD45" s="88"/>
      <c r="BE45" s="87">
        <f>IR45*AR45+IS45*AR45</f>
        <v>0</v>
      </c>
      <c r="BF45" s="88"/>
      <c r="BG45" s="88"/>
      <c r="BH45" s="88"/>
      <c r="BI45" s="88"/>
      <c r="BJ45" s="88"/>
      <c r="BK45" s="88"/>
      <c r="BL45" s="88"/>
      <c r="IR45" s="7">
        <f>AW45*0</f>
        <v>0</v>
      </c>
      <c r="IS45" s="7">
        <f>AW45*(1-0)</f>
        <v>0</v>
      </c>
    </row>
    <row r="46" spans="1:253" ht="12.75">
      <c r="A46" s="85" t="s">
        <v>31</v>
      </c>
      <c r="B46" s="86"/>
      <c r="C46" s="85" t="s">
        <v>102</v>
      </c>
      <c r="D46" s="86"/>
      <c r="E46" s="86"/>
      <c r="F46" s="86"/>
      <c r="G46" s="86"/>
      <c r="H46" s="86"/>
      <c r="I46" s="85" t="s">
        <v>190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5" t="s">
        <v>242</v>
      </c>
      <c r="AQ46" s="86"/>
      <c r="AR46" s="87">
        <v>32.56</v>
      </c>
      <c r="AS46" s="88"/>
      <c r="AT46" s="88"/>
      <c r="AU46" s="88"/>
      <c r="AV46" s="88"/>
      <c r="AW46" s="87"/>
      <c r="AX46" s="88"/>
      <c r="AY46" s="88"/>
      <c r="AZ46" s="88"/>
      <c r="BA46" s="88"/>
      <c r="BB46" s="88"/>
      <c r="BC46" s="88"/>
      <c r="BD46" s="88"/>
      <c r="BE46" s="87">
        <f>IR46*AR46+IS46*AR46</f>
        <v>0</v>
      </c>
      <c r="BF46" s="88"/>
      <c r="BG46" s="88"/>
      <c r="BH46" s="88"/>
      <c r="BI46" s="88"/>
      <c r="BJ46" s="88"/>
      <c r="BK46" s="88"/>
      <c r="BL46" s="88"/>
      <c r="IR46" s="7">
        <f>AW46*0.466666666666667</f>
        <v>0</v>
      </c>
      <c r="IS46" s="7">
        <f>AW46*(1-0.466666666666667)</f>
        <v>0</v>
      </c>
    </row>
    <row r="47" spans="1:253" ht="12.75">
      <c r="A47" s="85" t="s">
        <v>32</v>
      </c>
      <c r="B47" s="86"/>
      <c r="C47" s="85" t="s">
        <v>103</v>
      </c>
      <c r="D47" s="86"/>
      <c r="E47" s="86"/>
      <c r="F47" s="86"/>
      <c r="G47" s="86"/>
      <c r="H47" s="86"/>
      <c r="I47" s="85" t="s">
        <v>191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5" t="s">
        <v>242</v>
      </c>
      <c r="AQ47" s="86"/>
      <c r="AR47" s="87">
        <v>16.28</v>
      </c>
      <c r="AS47" s="88"/>
      <c r="AT47" s="88"/>
      <c r="AU47" s="88"/>
      <c r="AV47" s="88"/>
      <c r="AW47" s="87"/>
      <c r="AX47" s="88"/>
      <c r="AY47" s="88"/>
      <c r="AZ47" s="88"/>
      <c r="BA47" s="88"/>
      <c r="BB47" s="88"/>
      <c r="BC47" s="88"/>
      <c r="BD47" s="88"/>
      <c r="BE47" s="87">
        <f>IR47*AR47+IS47*AR47</f>
        <v>0</v>
      </c>
      <c r="BF47" s="88"/>
      <c r="BG47" s="88"/>
      <c r="BH47" s="88"/>
      <c r="BI47" s="88"/>
      <c r="BJ47" s="88"/>
      <c r="BK47" s="88"/>
      <c r="BL47" s="88"/>
      <c r="IR47" s="7">
        <f>AW47*0</f>
        <v>0</v>
      </c>
      <c r="IS47" s="7">
        <f>AW47*(1-0)</f>
        <v>0</v>
      </c>
    </row>
    <row r="48" spans="1:253" ht="12.75">
      <c r="A48" s="85" t="s">
        <v>33</v>
      </c>
      <c r="B48" s="86"/>
      <c r="C48" s="85" t="s">
        <v>104</v>
      </c>
      <c r="D48" s="86"/>
      <c r="E48" s="86"/>
      <c r="F48" s="86"/>
      <c r="G48" s="86"/>
      <c r="H48" s="86"/>
      <c r="I48" s="85" t="s">
        <v>192</v>
      </c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5" t="s">
        <v>242</v>
      </c>
      <c r="AQ48" s="86"/>
      <c r="AR48" s="87">
        <v>16.28</v>
      </c>
      <c r="AS48" s="88"/>
      <c r="AT48" s="88"/>
      <c r="AU48" s="88"/>
      <c r="AV48" s="88"/>
      <c r="AW48" s="87"/>
      <c r="AX48" s="88"/>
      <c r="AY48" s="88"/>
      <c r="AZ48" s="88"/>
      <c r="BA48" s="88"/>
      <c r="BB48" s="88"/>
      <c r="BC48" s="88"/>
      <c r="BD48" s="88"/>
      <c r="BE48" s="87">
        <f>IR48*AR48+IS48*AR48</f>
        <v>0</v>
      </c>
      <c r="BF48" s="88"/>
      <c r="BG48" s="88"/>
      <c r="BH48" s="88"/>
      <c r="BI48" s="88"/>
      <c r="BJ48" s="88"/>
      <c r="BK48" s="88"/>
      <c r="BL48" s="88"/>
      <c r="IR48" s="7">
        <f>AW48*0.173321976149915</f>
        <v>0</v>
      </c>
      <c r="IS48" s="7">
        <f>AW48*(1-0.173321976149915)</f>
        <v>0</v>
      </c>
    </row>
    <row r="49" spans="1:64" ht="12.75">
      <c r="A49" s="89" t="s">
        <v>6</v>
      </c>
      <c r="B49" s="90"/>
      <c r="C49" s="89" t="s">
        <v>105</v>
      </c>
      <c r="D49" s="90"/>
      <c r="E49" s="90"/>
      <c r="F49" s="90"/>
      <c r="G49" s="90"/>
      <c r="H49" s="90"/>
      <c r="I49" s="89" t="s">
        <v>193</v>
      </c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89" t="s">
        <v>6</v>
      </c>
      <c r="AQ49" s="90"/>
      <c r="AR49" s="91" t="s">
        <v>6</v>
      </c>
      <c r="AS49" s="92"/>
      <c r="AT49" s="92"/>
      <c r="AU49" s="92"/>
      <c r="AV49" s="92"/>
      <c r="AW49" s="91" t="s">
        <v>6</v>
      </c>
      <c r="AX49" s="92"/>
      <c r="AY49" s="92"/>
      <c r="AZ49" s="92"/>
      <c r="BA49" s="92"/>
      <c r="BB49" s="92"/>
      <c r="BC49" s="92"/>
      <c r="BD49" s="92"/>
      <c r="BE49" s="93">
        <f>SUM(BE50:BE52)</f>
        <v>0</v>
      </c>
      <c r="BF49" s="92"/>
      <c r="BG49" s="92"/>
      <c r="BH49" s="92"/>
      <c r="BI49" s="92"/>
      <c r="BJ49" s="92"/>
      <c r="BK49" s="92"/>
      <c r="BL49" s="92"/>
    </row>
    <row r="50" spans="1:253" ht="12.75">
      <c r="A50" s="85" t="s">
        <v>34</v>
      </c>
      <c r="B50" s="86"/>
      <c r="C50" s="85" t="s">
        <v>106</v>
      </c>
      <c r="D50" s="86"/>
      <c r="E50" s="86"/>
      <c r="F50" s="86"/>
      <c r="G50" s="86"/>
      <c r="H50" s="86"/>
      <c r="I50" s="85" t="s">
        <v>194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5" t="s">
        <v>242</v>
      </c>
      <c r="AQ50" s="86"/>
      <c r="AR50" s="87">
        <v>76.54</v>
      </c>
      <c r="AS50" s="88"/>
      <c r="AT50" s="88"/>
      <c r="AU50" s="88"/>
      <c r="AV50" s="88"/>
      <c r="AW50" s="87"/>
      <c r="AX50" s="88"/>
      <c r="AY50" s="88"/>
      <c r="AZ50" s="88"/>
      <c r="BA50" s="88"/>
      <c r="BB50" s="88"/>
      <c r="BC50" s="88"/>
      <c r="BD50" s="88"/>
      <c r="BE50" s="87">
        <f>IR50*AR50+IS50*AR50</f>
        <v>0</v>
      </c>
      <c r="BF50" s="88"/>
      <c r="BG50" s="88"/>
      <c r="BH50" s="88"/>
      <c r="BI50" s="88"/>
      <c r="BJ50" s="88"/>
      <c r="BK50" s="88"/>
      <c r="BL50" s="88"/>
      <c r="IR50" s="7">
        <f>AW50*0</f>
        <v>0</v>
      </c>
      <c r="IS50" s="7">
        <f>AW50*(1-0)</f>
        <v>0</v>
      </c>
    </row>
    <row r="51" spans="1:253" ht="12.75">
      <c r="A51" s="85" t="s">
        <v>35</v>
      </c>
      <c r="B51" s="86"/>
      <c r="C51" s="85" t="s">
        <v>107</v>
      </c>
      <c r="D51" s="86"/>
      <c r="E51" s="86"/>
      <c r="F51" s="86"/>
      <c r="G51" s="86"/>
      <c r="H51" s="86"/>
      <c r="I51" s="85" t="s">
        <v>195</v>
      </c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5" t="s">
        <v>242</v>
      </c>
      <c r="AQ51" s="86"/>
      <c r="AR51" s="87">
        <v>76.54</v>
      </c>
      <c r="AS51" s="88"/>
      <c r="AT51" s="88"/>
      <c r="AU51" s="88"/>
      <c r="AV51" s="88"/>
      <c r="AW51" s="87"/>
      <c r="AX51" s="88"/>
      <c r="AY51" s="88"/>
      <c r="AZ51" s="88"/>
      <c r="BA51" s="88"/>
      <c r="BB51" s="88"/>
      <c r="BC51" s="88"/>
      <c r="BD51" s="88"/>
      <c r="BE51" s="87">
        <f>IR51*AR51+IS51*AR51</f>
        <v>0</v>
      </c>
      <c r="BF51" s="88"/>
      <c r="BG51" s="88"/>
      <c r="BH51" s="88"/>
      <c r="BI51" s="88"/>
      <c r="BJ51" s="88"/>
      <c r="BK51" s="88"/>
      <c r="BL51" s="88"/>
      <c r="IR51" s="7">
        <f>AW51*0.396593673965937</f>
        <v>0</v>
      </c>
      <c r="IS51" s="7">
        <f>AW51*(1-0.396593673965937)</f>
        <v>0</v>
      </c>
    </row>
    <row r="52" spans="1:253" ht="12.75">
      <c r="A52" s="85" t="s">
        <v>36</v>
      </c>
      <c r="B52" s="86"/>
      <c r="C52" s="85" t="s">
        <v>108</v>
      </c>
      <c r="D52" s="86"/>
      <c r="E52" s="86"/>
      <c r="F52" s="86"/>
      <c r="G52" s="86"/>
      <c r="H52" s="86"/>
      <c r="I52" s="85" t="s">
        <v>196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5" t="s">
        <v>242</v>
      </c>
      <c r="AQ52" s="86"/>
      <c r="AR52" s="87">
        <v>76.54</v>
      </c>
      <c r="AS52" s="88"/>
      <c r="AT52" s="88"/>
      <c r="AU52" s="88"/>
      <c r="AV52" s="88"/>
      <c r="AW52" s="87"/>
      <c r="AX52" s="88"/>
      <c r="AY52" s="88"/>
      <c r="AZ52" s="88"/>
      <c r="BA52" s="88"/>
      <c r="BB52" s="88"/>
      <c r="BC52" s="88"/>
      <c r="BD52" s="88"/>
      <c r="BE52" s="87">
        <f>IR52*AR52+IS52*AR52</f>
        <v>0</v>
      </c>
      <c r="BF52" s="88"/>
      <c r="BG52" s="88"/>
      <c r="BH52" s="88"/>
      <c r="BI52" s="88"/>
      <c r="BJ52" s="88"/>
      <c r="BK52" s="88"/>
      <c r="BL52" s="88"/>
      <c r="IR52" s="7">
        <f>AW52*0.137764505119454</f>
        <v>0</v>
      </c>
      <c r="IS52" s="7">
        <f>AW52*(1-0.137764505119454)</f>
        <v>0</v>
      </c>
    </row>
    <row r="53" spans="1:64" ht="12.75">
      <c r="A53" s="89" t="s">
        <v>6</v>
      </c>
      <c r="B53" s="90"/>
      <c r="C53" s="89" t="s">
        <v>109</v>
      </c>
      <c r="D53" s="90"/>
      <c r="E53" s="90"/>
      <c r="F53" s="90"/>
      <c r="G53" s="90"/>
      <c r="H53" s="90"/>
      <c r="I53" s="89" t="s">
        <v>197</v>
      </c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89" t="s">
        <v>6</v>
      </c>
      <c r="AQ53" s="90"/>
      <c r="AR53" s="91" t="s">
        <v>6</v>
      </c>
      <c r="AS53" s="92"/>
      <c r="AT53" s="92"/>
      <c r="AU53" s="92"/>
      <c r="AV53" s="92"/>
      <c r="AW53" s="91" t="s">
        <v>6</v>
      </c>
      <c r="AX53" s="92"/>
      <c r="AY53" s="92"/>
      <c r="AZ53" s="92"/>
      <c r="BA53" s="92"/>
      <c r="BB53" s="92"/>
      <c r="BC53" s="92"/>
      <c r="BD53" s="92"/>
      <c r="BE53" s="93">
        <f>SUM(BE54:BE54)</f>
        <v>0</v>
      </c>
      <c r="BF53" s="92"/>
      <c r="BG53" s="92"/>
      <c r="BH53" s="92"/>
      <c r="BI53" s="92"/>
      <c r="BJ53" s="92"/>
      <c r="BK53" s="92"/>
      <c r="BL53" s="92"/>
    </row>
    <row r="54" spans="1:253" ht="12.75">
      <c r="A54" s="85" t="s">
        <v>37</v>
      </c>
      <c r="B54" s="86"/>
      <c r="C54" s="85" t="s">
        <v>110</v>
      </c>
      <c r="D54" s="86"/>
      <c r="E54" s="86"/>
      <c r="F54" s="86"/>
      <c r="G54" s="86"/>
      <c r="H54" s="86"/>
      <c r="I54" s="85" t="s">
        <v>198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5" t="s">
        <v>245</v>
      </c>
      <c r="AQ54" s="86"/>
      <c r="AR54" s="87">
        <v>1</v>
      </c>
      <c r="AS54" s="88"/>
      <c r="AT54" s="88"/>
      <c r="AU54" s="88"/>
      <c r="AV54" s="88"/>
      <c r="AW54" s="87"/>
      <c r="AX54" s="88"/>
      <c r="AY54" s="88"/>
      <c r="AZ54" s="88"/>
      <c r="BA54" s="88"/>
      <c r="BB54" s="88"/>
      <c r="BC54" s="88"/>
      <c r="BD54" s="88"/>
      <c r="BE54" s="87">
        <f>IR54*AR54+IS54*AR54</f>
        <v>0</v>
      </c>
      <c r="BF54" s="88"/>
      <c r="BG54" s="88"/>
      <c r="BH54" s="88"/>
      <c r="BI54" s="88"/>
      <c r="BJ54" s="88"/>
      <c r="BK54" s="88"/>
      <c r="BL54" s="88"/>
      <c r="IR54" s="7">
        <f>AW54*0.478142857142857</f>
        <v>0</v>
      </c>
      <c r="IS54" s="7">
        <f>AW54*(1-0.478142857142857)</f>
        <v>0</v>
      </c>
    </row>
    <row r="55" spans="1:64" ht="12.75">
      <c r="A55" s="89" t="s">
        <v>6</v>
      </c>
      <c r="B55" s="90"/>
      <c r="C55" s="89" t="s">
        <v>111</v>
      </c>
      <c r="D55" s="90"/>
      <c r="E55" s="90"/>
      <c r="F55" s="90"/>
      <c r="G55" s="90"/>
      <c r="H55" s="90"/>
      <c r="I55" s="89" t="s">
        <v>199</v>
      </c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89" t="s">
        <v>6</v>
      </c>
      <c r="AQ55" s="90"/>
      <c r="AR55" s="91" t="s">
        <v>6</v>
      </c>
      <c r="AS55" s="92"/>
      <c r="AT55" s="92"/>
      <c r="AU55" s="92"/>
      <c r="AV55" s="92"/>
      <c r="AW55" s="91" t="s">
        <v>6</v>
      </c>
      <c r="AX55" s="92"/>
      <c r="AY55" s="92"/>
      <c r="AZ55" s="92"/>
      <c r="BA55" s="92"/>
      <c r="BB55" s="92"/>
      <c r="BC55" s="92"/>
      <c r="BD55" s="92"/>
      <c r="BE55" s="93">
        <f>SUM(BE56:BE59)</f>
        <v>0</v>
      </c>
      <c r="BF55" s="92"/>
      <c r="BG55" s="92"/>
      <c r="BH55" s="92"/>
      <c r="BI55" s="92"/>
      <c r="BJ55" s="92"/>
      <c r="BK55" s="92"/>
      <c r="BL55" s="92"/>
    </row>
    <row r="56" spans="1:253" ht="12.75">
      <c r="A56" s="85" t="s">
        <v>38</v>
      </c>
      <c r="B56" s="86"/>
      <c r="C56" s="85" t="s">
        <v>112</v>
      </c>
      <c r="D56" s="86"/>
      <c r="E56" s="86"/>
      <c r="F56" s="86"/>
      <c r="G56" s="86"/>
      <c r="H56" s="86"/>
      <c r="I56" s="85" t="s">
        <v>200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5" t="s">
        <v>242</v>
      </c>
      <c r="AQ56" s="86"/>
      <c r="AR56" s="87">
        <v>33.18</v>
      </c>
      <c r="AS56" s="88"/>
      <c r="AT56" s="88"/>
      <c r="AU56" s="88"/>
      <c r="AV56" s="88"/>
      <c r="AW56" s="87"/>
      <c r="AX56" s="88"/>
      <c r="AY56" s="88"/>
      <c r="AZ56" s="88"/>
      <c r="BA56" s="88"/>
      <c r="BB56" s="88"/>
      <c r="BC56" s="88"/>
      <c r="BD56" s="88"/>
      <c r="BE56" s="87">
        <f>IR56*AR56+IS56*AR56</f>
        <v>0</v>
      </c>
      <c r="BF56" s="88"/>
      <c r="BG56" s="88"/>
      <c r="BH56" s="88"/>
      <c r="BI56" s="88"/>
      <c r="BJ56" s="88"/>
      <c r="BK56" s="88"/>
      <c r="BL56" s="88"/>
      <c r="IR56" s="7">
        <f>AW56*0.002710027100271</f>
        <v>0</v>
      </c>
      <c r="IS56" s="7">
        <f>AW56*(1-0.002710027100271)</f>
        <v>0</v>
      </c>
    </row>
    <row r="57" spans="1:253" ht="12.75">
      <c r="A57" s="85" t="s">
        <v>39</v>
      </c>
      <c r="B57" s="86"/>
      <c r="C57" s="85" t="s">
        <v>113</v>
      </c>
      <c r="D57" s="86"/>
      <c r="E57" s="86"/>
      <c r="F57" s="86"/>
      <c r="G57" s="86"/>
      <c r="H57" s="86"/>
      <c r="I57" s="85" t="s">
        <v>201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5" t="s">
        <v>242</v>
      </c>
      <c r="AQ57" s="86"/>
      <c r="AR57" s="87">
        <v>47.744</v>
      </c>
      <c r="AS57" s="88"/>
      <c r="AT57" s="88"/>
      <c r="AU57" s="88"/>
      <c r="AV57" s="88"/>
      <c r="AW57" s="87"/>
      <c r="AX57" s="88"/>
      <c r="AY57" s="88"/>
      <c r="AZ57" s="88"/>
      <c r="BA57" s="88"/>
      <c r="BB57" s="88"/>
      <c r="BC57" s="88"/>
      <c r="BD57" s="88"/>
      <c r="BE57" s="87">
        <f>IR57*AR57+IS57*AR57</f>
        <v>0</v>
      </c>
      <c r="BF57" s="88"/>
      <c r="BG57" s="88"/>
      <c r="BH57" s="88"/>
      <c r="BI57" s="88"/>
      <c r="BJ57" s="88"/>
      <c r="BK57" s="88"/>
      <c r="BL57" s="88"/>
      <c r="IR57" s="7">
        <f>AW57*0.402944595118171</f>
        <v>0</v>
      </c>
      <c r="IS57" s="7">
        <f>AW57*(1-0.402944595118171)</f>
        <v>0</v>
      </c>
    </row>
    <row r="58" spans="1:253" ht="12.75">
      <c r="A58" s="85" t="s">
        <v>40</v>
      </c>
      <c r="B58" s="86"/>
      <c r="C58" s="85" t="s">
        <v>114</v>
      </c>
      <c r="D58" s="86"/>
      <c r="E58" s="86"/>
      <c r="F58" s="86"/>
      <c r="G58" s="86"/>
      <c r="H58" s="86"/>
      <c r="I58" s="85" t="s">
        <v>202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5" t="s">
        <v>242</v>
      </c>
      <c r="AQ58" s="86"/>
      <c r="AR58" s="87">
        <v>47.744</v>
      </c>
      <c r="AS58" s="88"/>
      <c r="AT58" s="88"/>
      <c r="AU58" s="88"/>
      <c r="AV58" s="88"/>
      <c r="AW58" s="87"/>
      <c r="AX58" s="88"/>
      <c r="AY58" s="88"/>
      <c r="AZ58" s="88"/>
      <c r="BA58" s="88"/>
      <c r="BB58" s="88"/>
      <c r="BC58" s="88"/>
      <c r="BD58" s="88"/>
      <c r="BE58" s="87">
        <f>IR58*AR58+IS58*AR58</f>
        <v>0</v>
      </c>
      <c r="BF58" s="88"/>
      <c r="BG58" s="88"/>
      <c r="BH58" s="88"/>
      <c r="BI58" s="88"/>
      <c r="BJ58" s="88"/>
      <c r="BK58" s="88"/>
      <c r="BL58" s="88"/>
      <c r="IR58" s="7">
        <f>AW58*0.092512666541565</f>
        <v>0</v>
      </c>
      <c r="IS58" s="7">
        <f>AW58*(1-0.092512666541565)</f>
        <v>0</v>
      </c>
    </row>
    <row r="59" spans="1:253" ht="12.75">
      <c r="A59" s="85" t="s">
        <v>41</v>
      </c>
      <c r="B59" s="86"/>
      <c r="C59" s="85" t="s">
        <v>115</v>
      </c>
      <c r="D59" s="86"/>
      <c r="E59" s="86"/>
      <c r="F59" s="86"/>
      <c r="G59" s="86"/>
      <c r="H59" s="86"/>
      <c r="I59" s="85" t="s">
        <v>203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5" t="s">
        <v>242</v>
      </c>
      <c r="AQ59" s="86"/>
      <c r="AR59" s="87">
        <v>20</v>
      </c>
      <c r="AS59" s="88"/>
      <c r="AT59" s="88"/>
      <c r="AU59" s="88"/>
      <c r="AV59" s="88"/>
      <c r="AW59" s="87"/>
      <c r="AX59" s="88"/>
      <c r="AY59" s="88"/>
      <c r="AZ59" s="88"/>
      <c r="BA59" s="88"/>
      <c r="BB59" s="88"/>
      <c r="BC59" s="88"/>
      <c r="BD59" s="88"/>
      <c r="BE59" s="87">
        <f>IR59*AR59+IS59*AR59</f>
        <v>0</v>
      </c>
      <c r="BF59" s="88"/>
      <c r="BG59" s="88"/>
      <c r="BH59" s="88"/>
      <c r="BI59" s="88"/>
      <c r="BJ59" s="88"/>
      <c r="BK59" s="88"/>
      <c r="BL59" s="88"/>
      <c r="IR59" s="7">
        <f>AW59*0.592356687898089</f>
        <v>0</v>
      </c>
      <c r="IS59" s="7">
        <f>AW59*(1-0.592356687898089)</f>
        <v>0</v>
      </c>
    </row>
    <row r="60" spans="1:64" ht="12.75">
      <c r="A60" s="89" t="s">
        <v>6</v>
      </c>
      <c r="B60" s="90"/>
      <c r="C60" s="89" t="s">
        <v>116</v>
      </c>
      <c r="D60" s="90"/>
      <c r="E60" s="90"/>
      <c r="F60" s="90"/>
      <c r="G60" s="90"/>
      <c r="H60" s="90"/>
      <c r="I60" s="89" t="s">
        <v>204</v>
      </c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89" t="s">
        <v>6</v>
      </c>
      <c r="AQ60" s="90"/>
      <c r="AR60" s="91" t="s">
        <v>6</v>
      </c>
      <c r="AS60" s="92"/>
      <c r="AT60" s="92"/>
      <c r="AU60" s="92"/>
      <c r="AV60" s="92"/>
      <c r="AW60" s="91" t="s">
        <v>6</v>
      </c>
      <c r="AX60" s="92"/>
      <c r="AY60" s="92"/>
      <c r="AZ60" s="92"/>
      <c r="BA60" s="92"/>
      <c r="BB60" s="92"/>
      <c r="BC60" s="92"/>
      <c r="BD60" s="92"/>
      <c r="BE60" s="93">
        <f>SUM(BE61:BE61)</f>
        <v>0</v>
      </c>
      <c r="BF60" s="92"/>
      <c r="BG60" s="92"/>
      <c r="BH60" s="92"/>
      <c r="BI60" s="92"/>
      <c r="BJ60" s="92"/>
      <c r="BK60" s="92"/>
      <c r="BL60" s="92"/>
    </row>
    <row r="61" spans="1:253" ht="12.75">
      <c r="A61" s="85" t="s">
        <v>42</v>
      </c>
      <c r="B61" s="86"/>
      <c r="C61" s="85" t="s">
        <v>117</v>
      </c>
      <c r="D61" s="86"/>
      <c r="E61" s="86"/>
      <c r="F61" s="86"/>
      <c r="G61" s="86"/>
      <c r="H61" s="86"/>
      <c r="I61" s="85" t="s">
        <v>205</v>
      </c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5" t="s">
        <v>242</v>
      </c>
      <c r="AQ61" s="86"/>
      <c r="AR61" s="87">
        <v>15.224</v>
      </c>
      <c r="AS61" s="88"/>
      <c r="AT61" s="88"/>
      <c r="AU61" s="88"/>
      <c r="AV61" s="88"/>
      <c r="AW61" s="87"/>
      <c r="AX61" s="88"/>
      <c r="AY61" s="88"/>
      <c r="AZ61" s="88"/>
      <c r="BA61" s="88"/>
      <c r="BB61" s="88"/>
      <c r="BC61" s="88"/>
      <c r="BD61" s="88"/>
      <c r="BE61" s="87">
        <f>IR61*AR61+IS61*AR61</f>
        <v>0</v>
      </c>
      <c r="BF61" s="88"/>
      <c r="BG61" s="88"/>
      <c r="BH61" s="88"/>
      <c r="BI61" s="88"/>
      <c r="BJ61" s="88"/>
      <c r="BK61" s="88"/>
      <c r="BL61" s="88"/>
      <c r="IR61" s="7">
        <f>AW61*0.422333333333333</f>
        <v>0</v>
      </c>
      <c r="IS61" s="7">
        <f>AW61*(1-0.422333333333333)</f>
        <v>0</v>
      </c>
    </row>
    <row r="62" spans="1:64" ht="12.75">
      <c r="A62" s="89" t="s">
        <v>6</v>
      </c>
      <c r="B62" s="90"/>
      <c r="C62" s="89" t="s">
        <v>118</v>
      </c>
      <c r="D62" s="90"/>
      <c r="E62" s="90"/>
      <c r="F62" s="90"/>
      <c r="G62" s="90"/>
      <c r="H62" s="90"/>
      <c r="I62" s="89" t="s">
        <v>206</v>
      </c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89" t="s">
        <v>6</v>
      </c>
      <c r="AQ62" s="90"/>
      <c r="AR62" s="91" t="s">
        <v>6</v>
      </c>
      <c r="AS62" s="92"/>
      <c r="AT62" s="92"/>
      <c r="AU62" s="92"/>
      <c r="AV62" s="92"/>
      <c r="AW62" s="91" t="s">
        <v>6</v>
      </c>
      <c r="AX62" s="92"/>
      <c r="AY62" s="92"/>
      <c r="AZ62" s="92"/>
      <c r="BA62" s="92"/>
      <c r="BB62" s="92"/>
      <c r="BC62" s="92"/>
      <c r="BD62" s="92"/>
      <c r="BE62" s="93">
        <f>SUM(BE63:BE66)</f>
        <v>0</v>
      </c>
      <c r="BF62" s="92"/>
      <c r="BG62" s="92"/>
      <c r="BH62" s="92"/>
      <c r="BI62" s="92"/>
      <c r="BJ62" s="92"/>
      <c r="BK62" s="92"/>
      <c r="BL62" s="92"/>
    </row>
    <row r="63" spans="1:253" ht="12.75">
      <c r="A63" s="85" t="s">
        <v>43</v>
      </c>
      <c r="B63" s="86"/>
      <c r="C63" s="85" t="s">
        <v>119</v>
      </c>
      <c r="D63" s="86"/>
      <c r="E63" s="86"/>
      <c r="F63" s="86"/>
      <c r="G63" s="86"/>
      <c r="H63" s="86"/>
      <c r="I63" s="85" t="s">
        <v>207</v>
      </c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5" t="s">
        <v>244</v>
      </c>
      <c r="AQ63" s="86"/>
      <c r="AR63" s="87">
        <v>4</v>
      </c>
      <c r="AS63" s="88"/>
      <c r="AT63" s="88"/>
      <c r="AU63" s="88"/>
      <c r="AV63" s="88"/>
      <c r="AW63" s="87"/>
      <c r="AX63" s="88"/>
      <c r="AY63" s="88"/>
      <c r="AZ63" s="88"/>
      <c r="BA63" s="88"/>
      <c r="BB63" s="88"/>
      <c r="BC63" s="88"/>
      <c r="BD63" s="88"/>
      <c r="BE63" s="87">
        <f>IR63*AR63+IS63*AR63</f>
        <v>0</v>
      </c>
      <c r="BF63" s="88"/>
      <c r="BG63" s="88"/>
      <c r="BH63" s="88"/>
      <c r="BI63" s="88"/>
      <c r="BJ63" s="88"/>
      <c r="BK63" s="88"/>
      <c r="BL63" s="88"/>
      <c r="IR63" s="7">
        <f>AW63*0</f>
        <v>0</v>
      </c>
      <c r="IS63" s="7">
        <f>AW63*(1-0)</f>
        <v>0</v>
      </c>
    </row>
    <row r="64" spans="1:253" ht="12.75">
      <c r="A64" s="85" t="s">
        <v>44</v>
      </c>
      <c r="B64" s="86"/>
      <c r="C64" s="85" t="s">
        <v>120</v>
      </c>
      <c r="D64" s="86"/>
      <c r="E64" s="86"/>
      <c r="F64" s="86"/>
      <c r="G64" s="86"/>
      <c r="H64" s="86"/>
      <c r="I64" s="85" t="s">
        <v>208</v>
      </c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5" t="s">
        <v>242</v>
      </c>
      <c r="AQ64" s="86"/>
      <c r="AR64" s="87">
        <v>5.2</v>
      </c>
      <c r="AS64" s="88"/>
      <c r="AT64" s="88"/>
      <c r="AU64" s="88"/>
      <c r="AV64" s="88"/>
      <c r="AW64" s="87"/>
      <c r="AX64" s="88"/>
      <c r="AY64" s="88"/>
      <c r="AZ64" s="88"/>
      <c r="BA64" s="88"/>
      <c r="BB64" s="88"/>
      <c r="BC64" s="88"/>
      <c r="BD64" s="88"/>
      <c r="BE64" s="87">
        <f>IR64*AR64+IS64*AR64</f>
        <v>0</v>
      </c>
      <c r="BF64" s="88"/>
      <c r="BG64" s="88"/>
      <c r="BH64" s="88"/>
      <c r="BI64" s="88"/>
      <c r="BJ64" s="88"/>
      <c r="BK64" s="88"/>
      <c r="BL64" s="88"/>
      <c r="IR64" s="7">
        <f>AW64*0.0755766621438263</f>
        <v>0</v>
      </c>
      <c r="IS64" s="7">
        <f>AW64*(1-0.0755766621438263)</f>
        <v>0</v>
      </c>
    </row>
    <row r="65" spans="1:253" ht="12.75">
      <c r="A65" s="85" t="s">
        <v>45</v>
      </c>
      <c r="B65" s="86"/>
      <c r="C65" s="85" t="s">
        <v>121</v>
      </c>
      <c r="D65" s="86"/>
      <c r="E65" s="86"/>
      <c r="F65" s="86"/>
      <c r="G65" s="86"/>
      <c r="H65" s="86"/>
      <c r="I65" s="85" t="s">
        <v>209</v>
      </c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5" t="s">
        <v>242</v>
      </c>
      <c r="AQ65" s="86"/>
      <c r="AR65" s="87">
        <v>15.224</v>
      </c>
      <c r="AS65" s="88"/>
      <c r="AT65" s="88"/>
      <c r="AU65" s="88"/>
      <c r="AV65" s="88"/>
      <c r="AW65" s="87"/>
      <c r="AX65" s="88"/>
      <c r="AY65" s="88"/>
      <c r="AZ65" s="88"/>
      <c r="BA65" s="88"/>
      <c r="BB65" s="88"/>
      <c r="BC65" s="88"/>
      <c r="BD65" s="88"/>
      <c r="BE65" s="87">
        <f>IR65*AR65+IS65*AR65</f>
        <v>0</v>
      </c>
      <c r="BF65" s="88"/>
      <c r="BG65" s="88"/>
      <c r="BH65" s="88"/>
      <c r="BI65" s="88"/>
      <c r="BJ65" s="88"/>
      <c r="BK65" s="88"/>
      <c r="BL65" s="88"/>
      <c r="IR65" s="7">
        <f>AW65*0</f>
        <v>0</v>
      </c>
      <c r="IS65" s="7">
        <f>AW65*(1-0)</f>
        <v>0</v>
      </c>
    </row>
    <row r="66" spans="1:253" ht="12.75">
      <c r="A66" s="85" t="s">
        <v>46</v>
      </c>
      <c r="B66" s="86"/>
      <c r="C66" s="85" t="s">
        <v>122</v>
      </c>
      <c r="D66" s="86"/>
      <c r="E66" s="86"/>
      <c r="F66" s="86"/>
      <c r="G66" s="86"/>
      <c r="H66" s="86"/>
      <c r="I66" s="85" t="s">
        <v>210</v>
      </c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5" t="s">
        <v>242</v>
      </c>
      <c r="AQ66" s="86"/>
      <c r="AR66" s="87">
        <v>2</v>
      </c>
      <c r="AS66" s="88"/>
      <c r="AT66" s="88"/>
      <c r="AU66" s="88"/>
      <c r="AV66" s="88"/>
      <c r="AW66" s="87"/>
      <c r="AX66" s="88"/>
      <c r="AY66" s="88"/>
      <c r="AZ66" s="88"/>
      <c r="BA66" s="88"/>
      <c r="BB66" s="88"/>
      <c r="BC66" s="88"/>
      <c r="BD66" s="88"/>
      <c r="BE66" s="87">
        <f>IR66*AR66+IS66*AR66</f>
        <v>0</v>
      </c>
      <c r="BF66" s="88"/>
      <c r="BG66" s="88"/>
      <c r="BH66" s="88"/>
      <c r="BI66" s="88"/>
      <c r="BJ66" s="88"/>
      <c r="BK66" s="88"/>
      <c r="BL66" s="88"/>
      <c r="IR66" s="7">
        <f>AW66*0.133670886075949</f>
        <v>0</v>
      </c>
      <c r="IS66" s="7">
        <f>AW66*(1-0.133670886075949)</f>
        <v>0</v>
      </c>
    </row>
    <row r="67" spans="1:64" ht="12.75">
      <c r="A67" s="89" t="s">
        <v>6</v>
      </c>
      <c r="B67" s="90"/>
      <c r="C67" s="89" t="s">
        <v>123</v>
      </c>
      <c r="D67" s="90"/>
      <c r="E67" s="90"/>
      <c r="F67" s="90"/>
      <c r="G67" s="90"/>
      <c r="H67" s="90"/>
      <c r="I67" s="89" t="s">
        <v>211</v>
      </c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89" t="s">
        <v>6</v>
      </c>
      <c r="AQ67" s="90"/>
      <c r="AR67" s="91" t="s">
        <v>6</v>
      </c>
      <c r="AS67" s="92"/>
      <c r="AT67" s="92"/>
      <c r="AU67" s="92"/>
      <c r="AV67" s="92"/>
      <c r="AW67" s="91" t="s">
        <v>6</v>
      </c>
      <c r="AX67" s="92"/>
      <c r="AY67" s="92"/>
      <c r="AZ67" s="92"/>
      <c r="BA67" s="92"/>
      <c r="BB67" s="92"/>
      <c r="BC67" s="92"/>
      <c r="BD67" s="92"/>
      <c r="BE67" s="93">
        <f>SUM(BE68:BE69)</f>
        <v>0</v>
      </c>
      <c r="BF67" s="92"/>
      <c r="BG67" s="92"/>
      <c r="BH67" s="92"/>
      <c r="BI67" s="92"/>
      <c r="BJ67" s="92"/>
      <c r="BK67" s="92"/>
      <c r="BL67" s="92"/>
    </row>
    <row r="68" spans="1:253" ht="12.75">
      <c r="A68" s="85" t="s">
        <v>47</v>
      </c>
      <c r="B68" s="86"/>
      <c r="C68" s="85" t="s">
        <v>124</v>
      </c>
      <c r="D68" s="86"/>
      <c r="E68" s="86"/>
      <c r="F68" s="86"/>
      <c r="G68" s="86"/>
      <c r="H68" s="86"/>
      <c r="I68" s="85" t="s">
        <v>212</v>
      </c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5" t="s">
        <v>242</v>
      </c>
      <c r="AQ68" s="86"/>
      <c r="AR68" s="87">
        <v>45.508</v>
      </c>
      <c r="AS68" s="88"/>
      <c r="AT68" s="88"/>
      <c r="AU68" s="88"/>
      <c r="AV68" s="88"/>
      <c r="AW68" s="87"/>
      <c r="AX68" s="88"/>
      <c r="AY68" s="88"/>
      <c r="AZ68" s="88"/>
      <c r="BA68" s="88"/>
      <c r="BB68" s="88"/>
      <c r="BC68" s="88"/>
      <c r="BD68" s="88"/>
      <c r="BE68" s="87">
        <f>IR68*AR68+IS68*AR68</f>
        <v>0</v>
      </c>
      <c r="BF68" s="88"/>
      <c r="BG68" s="88"/>
      <c r="BH68" s="88"/>
      <c r="BI68" s="88"/>
      <c r="BJ68" s="88"/>
      <c r="BK68" s="88"/>
      <c r="BL68" s="88"/>
      <c r="IR68" s="7">
        <f>AW68*0</f>
        <v>0</v>
      </c>
      <c r="IS68" s="7">
        <f>AW68*(1-0)</f>
        <v>0</v>
      </c>
    </row>
    <row r="69" spans="1:253" ht="12.75">
      <c r="A69" s="85" t="s">
        <v>48</v>
      </c>
      <c r="B69" s="86"/>
      <c r="C69" s="85" t="s">
        <v>125</v>
      </c>
      <c r="D69" s="86"/>
      <c r="E69" s="86"/>
      <c r="F69" s="86"/>
      <c r="G69" s="86"/>
      <c r="H69" s="86"/>
      <c r="I69" s="85" t="s">
        <v>213</v>
      </c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5" t="s">
        <v>243</v>
      </c>
      <c r="AQ69" s="86"/>
      <c r="AR69" s="87">
        <v>22</v>
      </c>
      <c r="AS69" s="88"/>
      <c r="AT69" s="88"/>
      <c r="AU69" s="88"/>
      <c r="AV69" s="88"/>
      <c r="AW69" s="87"/>
      <c r="AX69" s="88"/>
      <c r="AY69" s="88"/>
      <c r="AZ69" s="88"/>
      <c r="BA69" s="88"/>
      <c r="BB69" s="88"/>
      <c r="BC69" s="88"/>
      <c r="BD69" s="88"/>
      <c r="BE69" s="87">
        <f>IR69*AR69+IS69*AR69</f>
        <v>0</v>
      </c>
      <c r="BF69" s="88"/>
      <c r="BG69" s="88"/>
      <c r="BH69" s="88"/>
      <c r="BI69" s="88"/>
      <c r="BJ69" s="88"/>
      <c r="BK69" s="88"/>
      <c r="BL69" s="88"/>
      <c r="IR69" s="7">
        <f>AW69*0.1125</f>
        <v>0</v>
      </c>
      <c r="IS69" s="7">
        <f>AW69*(1-0.1125)</f>
        <v>0</v>
      </c>
    </row>
    <row r="70" spans="1:64" ht="12.75">
      <c r="A70" s="89" t="s">
        <v>6</v>
      </c>
      <c r="B70" s="90"/>
      <c r="C70" s="89" t="s">
        <v>126</v>
      </c>
      <c r="D70" s="90"/>
      <c r="E70" s="90"/>
      <c r="F70" s="90"/>
      <c r="G70" s="90"/>
      <c r="H70" s="90"/>
      <c r="I70" s="89" t="s">
        <v>168</v>
      </c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89" t="s">
        <v>6</v>
      </c>
      <c r="AQ70" s="90"/>
      <c r="AR70" s="91" t="s">
        <v>6</v>
      </c>
      <c r="AS70" s="92"/>
      <c r="AT70" s="92"/>
      <c r="AU70" s="92"/>
      <c r="AV70" s="92"/>
      <c r="AW70" s="91" t="s">
        <v>6</v>
      </c>
      <c r="AX70" s="92"/>
      <c r="AY70" s="92"/>
      <c r="AZ70" s="92"/>
      <c r="BA70" s="92"/>
      <c r="BB70" s="92"/>
      <c r="BC70" s="92"/>
      <c r="BD70" s="92"/>
      <c r="BE70" s="93">
        <f>SUM(BE71:BE71)</f>
        <v>0</v>
      </c>
      <c r="BF70" s="92"/>
      <c r="BG70" s="92"/>
      <c r="BH70" s="92"/>
      <c r="BI70" s="92"/>
      <c r="BJ70" s="92"/>
      <c r="BK70" s="92"/>
      <c r="BL70" s="92"/>
    </row>
    <row r="71" spans="1:253" ht="12.75">
      <c r="A71" s="85" t="s">
        <v>49</v>
      </c>
      <c r="B71" s="86"/>
      <c r="C71" s="85" t="s">
        <v>127</v>
      </c>
      <c r="D71" s="86"/>
      <c r="E71" s="86"/>
      <c r="F71" s="86"/>
      <c r="G71" s="86"/>
      <c r="H71" s="86"/>
      <c r="I71" s="85" t="s">
        <v>214</v>
      </c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5" t="s">
        <v>247</v>
      </c>
      <c r="AQ71" s="86"/>
      <c r="AR71" s="87">
        <v>0.46143</v>
      </c>
      <c r="AS71" s="88"/>
      <c r="AT71" s="88"/>
      <c r="AU71" s="88"/>
      <c r="AV71" s="88"/>
      <c r="AW71" s="87"/>
      <c r="AX71" s="88"/>
      <c r="AY71" s="88"/>
      <c r="AZ71" s="88"/>
      <c r="BA71" s="88"/>
      <c r="BB71" s="88"/>
      <c r="BC71" s="88"/>
      <c r="BD71" s="88"/>
      <c r="BE71" s="87">
        <f>IR71*AR71+IS71*AR71</f>
        <v>0</v>
      </c>
      <c r="BF71" s="88"/>
      <c r="BG71" s="88"/>
      <c r="BH71" s="88"/>
      <c r="BI71" s="88"/>
      <c r="BJ71" s="88"/>
      <c r="BK71" s="88"/>
      <c r="BL71" s="88"/>
      <c r="IR71" s="7">
        <f>AW71*0</f>
        <v>0</v>
      </c>
      <c r="IS71" s="7">
        <f>AW71*(1-0)</f>
        <v>0</v>
      </c>
    </row>
    <row r="72" spans="1:64" ht="12.75">
      <c r="A72" s="89" t="s">
        <v>6</v>
      </c>
      <c r="B72" s="90"/>
      <c r="C72" s="89" t="s">
        <v>128</v>
      </c>
      <c r="D72" s="90"/>
      <c r="E72" s="90"/>
      <c r="F72" s="90"/>
      <c r="G72" s="90"/>
      <c r="H72" s="90"/>
      <c r="I72" s="89" t="s">
        <v>174</v>
      </c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89" t="s">
        <v>6</v>
      </c>
      <c r="AQ72" s="90"/>
      <c r="AR72" s="91" t="s">
        <v>6</v>
      </c>
      <c r="AS72" s="92"/>
      <c r="AT72" s="92"/>
      <c r="AU72" s="92"/>
      <c r="AV72" s="92"/>
      <c r="AW72" s="91" t="s">
        <v>6</v>
      </c>
      <c r="AX72" s="92"/>
      <c r="AY72" s="92"/>
      <c r="AZ72" s="92"/>
      <c r="BA72" s="92"/>
      <c r="BB72" s="92"/>
      <c r="BC72" s="92"/>
      <c r="BD72" s="92"/>
      <c r="BE72" s="93">
        <f>SUM(BE73:BE73)</f>
        <v>0</v>
      </c>
      <c r="BF72" s="92"/>
      <c r="BG72" s="92"/>
      <c r="BH72" s="92"/>
      <c r="BI72" s="92"/>
      <c r="BJ72" s="92"/>
      <c r="BK72" s="92"/>
      <c r="BL72" s="92"/>
    </row>
    <row r="73" spans="1:253" ht="12.75">
      <c r="A73" s="85" t="s">
        <v>50</v>
      </c>
      <c r="B73" s="86"/>
      <c r="C73" s="85" t="s">
        <v>129</v>
      </c>
      <c r="D73" s="86"/>
      <c r="E73" s="86"/>
      <c r="F73" s="86"/>
      <c r="G73" s="86"/>
      <c r="H73" s="86"/>
      <c r="I73" s="85" t="s">
        <v>215</v>
      </c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5" t="s">
        <v>247</v>
      </c>
      <c r="AQ73" s="86"/>
      <c r="AR73" s="87">
        <v>0.50276</v>
      </c>
      <c r="AS73" s="88"/>
      <c r="AT73" s="88"/>
      <c r="AU73" s="88"/>
      <c r="AV73" s="88"/>
      <c r="AW73" s="87"/>
      <c r="AX73" s="88"/>
      <c r="AY73" s="88"/>
      <c r="AZ73" s="88"/>
      <c r="BA73" s="88"/>
      <c r="BB73" s="88"/>
      <c r="BC73" s="88"/>
      <c r="BD73" s="88"/>
      <c r="BE73" s="87">
        <f>IR73*AR73+IS73*AR73</f>
        <v>0</v>
      </c>
      <c r="BF73" s="88"/>
      <c r="BG73" s="88"/>
      <c r="BH73" s="88"/>
      <c r="BI73" s="88"/>
      <c r="BJ73" s="88"/>
      <c r="BK73" s="88"/>
      <c r="BL73" s="88"/>
      <c r="IR73" s="7">
        <f>AW73*0</f>
        <v>0</v>
      </c>
      <c r="IS73" s="7">
        <f>AW73*(1-0)</f>
        <v>0</v>
      </c>
    </row>
    <row r="74" spans="1:64" ht="12.75">
      <c r="A74" s="89" t="s">
        <v>6</v>
      </c>
      <c r="B74" s="90"/>
      <c r="C74" s="89" t="s">
        <v>130</v>
      </c>
      <c r="D74" s="90"/>
      <c r="E74" s="90"/>
      <c r="F74" s="90"/>
      <c r="G74" s="90"/>
      <c r="H74" s="90"/>
      <c r="I74" s="89" t="s">
        <v>181</v>
      </c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89" t="s">
        <v>6</v>
      </c>
      <c r="AQ74" s="90"/>
      <c r="AR74" s="91" t="s">
        <v>6</v>
      </c>
      <c r="AS74" s="92"/>
      <c r="AT74" s="92"/>
      <c r="AU74" s="92"/>
      <c r="AV74" s="92"/>
      <c r="AW74" s="91" t="s">
        <v>6</v>
      </c>
      <c r="AX74" s="92"/>
      <c r="AY74" s="92"/>
      <c r="AZ74" s="92"/>
      <c r="BA74" s="92"/>
      <c r="BB74" s="92"/>
      <c r="BC74" s="92"/>
      <c r="BD74" s="92"/>
      <c r="BE74" s="93">
        <f>SUM(BE75:BE75)</f>
        <v>0</v>
      </c>
      <c r="BF74" s="92"/>
      <c r="BG74" s="92"/>
      <c r="BH74" s="92"/>
      <c r="BI74" s="92"/>
      <c r="BJ74" s="92"/>
      <c r="BK74" s="92"/>
      <c r="BL74" s="92"/>
    </row>
    <row r="75" spans="1:253" ht="12.75">
      <c r="A75" s="85" t="s">
        <v>51</v>
      </c>
      <c r="B75" s="86"/>
      <c r="C75" s="85" t="s">
        <v>131</v>
      </c>
      <c r="D75" s="86"/>
      <c r="E75" s="86"/>
      <c r="F75" s="86"/>
      <c r="G75" s="86"/>
      <c r="H75" s="86"/>
      <c r="I75" s="85" t="s">
        <v>216</v>
      </c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5" t="s">
        <v>247</v>
      </c>
      <c r="AQ75" s="86"/>
      <c r="AR75" s="87">
        <v>0.07652</v>
      </c>
      <c r="AS75" s="88"/>
      <c r="AT75" s="88"/>
      <c r="AU75" s="88"/>
      <c r="AV75" s="88"/>
      <c r="AW75" s="87"/>
      <c r="AX75" s="88"/>
      <c r="AY75" s="88"/>
      <c r="AZ75" s="88"/>
      <c r="BA75" s="88"/>
      <c r="BB75" s="88"/>
      <c r="BC75" s="88"/>
      <c r="BD75" s="88"/>
      <c r="BE75" s="87">
        <f>IR75*AR75+IS75*AR75</f>
        <v>0</v>
      </c>
      <c r="BF75" s="88"/>
      <c r="BG75" s="88"/>
      <c r="BH75" s="88"/>
      <c r="BI75" s="88"/>
      <c r="BJ75" s="88"/>
      <c r="BK75" s="88"/>
      <c r="BL75" s="88"/>
      <c r="IR75" s="7">
        <f>AW75*0</f>
        <v>0</v>
      </c>
      <c r="IS75" s="7">
        <f>AW75*(1-0)</f>
        <v>0</v>
      </c>
    </row>
    <row r="76" spans="1:64" ht="12.75">
      <c r="A76" s="89" t="s">
        <v>6</v>
      </c>
      <c r="B76" s="90"/>
      <c r="C76" s="89" t="s">
        <v>132</v>
      </c>
      <c r="D76" s="90"/>
      <c r="E76" s="90"/>
      <c r="F76" s="90"/>
      <c r="G76" s="90"/>
      <c r="H76" s="90"/>
      <c r="I76" s="89" t="s">
        <v>185</v>
      </c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89" t="s">
        <v>6</v>
      </c>
      <c r="AQ76" s="90"/>
      <c r="AR76" s="91" t="s">
        <v>6</v>
      </c>
      <c r="AS76" s="92"/>
      <c r="AT76" s="92"/>
      <c r="AU76" s="92"/>
      <c r="AV76" s="92"/>
      <c r="AW76" s="91" t="s">
        <v>6</v>
      </c>
      <c r="AX76" s="92"/>
      <c r="AY76" s="92"/>
      <c r="AZ76" s="92"/>
      <c r="BA76" s="92"/>
      <c r="BB76" s="92"/>
      <c r="BC76" s="92"/>
      <c r="BD76" s="92"/>
      <c r="BE76" s="93">
        <f>SUM(BE77:BE77)</f>
        <v>0</v>
      </c>
      <c r="BF76" s="92"/>
      <c r="BG76" s="92"/>
      <c r="BH76" s="92"/>
      <c r="BI76" s="92"/>
      <c r="BJ76" s="92"/>
      <c r="BK76" s="92"/>
      <c r="BL76" s="92"/>
    </row>
    <row r="77" spans="1:253" ht="12.75">
      <c r="A77" s="85" t="s">
        <v>52</v>
      </c>
      <c r="B77" s="86"/>
      <c r="C77" s="85" t="s">
        <v>133</v>
      </c>
      <c r="D77" s="86"/>
      <c r="E77" s="86"/>
      <c r="F77" s="86"/>
      <c r="G77" s="86"/>
      <c r="H77" s="86"/>
      <c r="I77" s="85" t="s">
        <v>217</v>
      </c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5" t="s">
        <v>247</v>
      </c>
      <c r="AQ77" s="86"/>
      <c r="AR77" s="87">
        <v>0.08</v>
      </c>
      <c r="AS77" s="88"/>
      <c r="AT77" s="88"/>
      <c r="AU77" s="88"/>
      <c r="AV77" s="88"/>
      <c r="AW77" s="87"/>
      <c r="AX77" s="88"/>
      <c r="AY77" s="88"/>
      <c r="AZ77" s="88"/>
      <c r="BA77" s="88"/>
      <c r="BB77" s="88"/>
      <c r="BC77" s="88"/>
      <c r="BD77" s="88"/>
      <c r="BE77" s="87">
        <f>IR77*AR77+IS77*AR77</f>
        <v>0</v>
      </c>
      <c r="BF77" s="88"/>
      <c r="BG77" s="88"/>
      <c r="BH77" s="88"/>
      <c r="BI77" s="88"/>
      <c r="BJ77" s="88"/>
      <c r="BK77" s="88"/>
      <c r="BL77" s="88"/>
      <c r="IR77" s="7">
        <f>AW77*0</f>
        <v>0</v>
      </c>
      <c r="IS77" s="7">
        <f>AW77*(1-0)</f>
        <v>0</v>
      </c>
    </row>
    <row r="78" spans="1:64" ht="12.75">
      <c r="A78" s="89" t="s">
        <v>6</v>
      </c>
      <c r="B78" s="90"/>
      <c r="C78" s="89" t="s">
        <v>134</v>
      </c>
      <c r="D78" s="90"/>
      <c r="E78" s="90"/>
      <c r="F78" s="90"/>
      <c r="G78" s="90"/>
      <c r="H78" s="90"/>
      <c r="I78" s="89" t="s">
        <v>188</v>
      </c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89" t="s">
        <v>6</v>
      </c>
      <c r="AQ78" s="90"/>
      <c r="AR78" s="91" t="s">
        <v>6</v>
      </c>
      <c r="AS78" s="92"/>
      <c r="AT78" s="92"/>
      <c r="AU78" s="92"/>
      <c r="AV78" s="92"/>
      <c r="AW78" s="91" t="s">
        <v>6</v>
      </c>
      <c r="AX78" s="92"/>
      <c r="AY78" s="92"/>
      <c r="AZ78" s="92"/>
      <c r="BA78" s="92"/>
      <c r="BB78" s="92"/>
      <c r="BC78" s="92"/>
      <c r="BD78" s="92"/>
      <c r="BE78" s="93">
        <f>SUM(BE79:BE79)</f>
        <v>0</v>
      </c>
      <c r="BF78" s="92"/>
      <c r="BG78" s="92"/>
      <c r="BH78" s="92"/>
      <c r="BI78" s="92"/>
      <c r="BJ78" s="92"/>
      <c r="BK78" s="92"/>
      <c r="BL78" s="92"/>
    </row>
    <row r="79" spans="1:253" ht="12.75">
      <c r="A79" s="85" t="s">
        <v>53</v>
      </c>
      <c r="B79" s="86"/>
      <c r="C79" s="85" t="s">
        <v>135</v>
      </c>
      <c r="D79" s="86"/>
      <c r="E79" s="86"/>
      <c r="F79" s="86"/>
      <c r="G79" s="86"/>
      <c r="H79" s="86"/>
      <c r="I79" s="85" t="s">
        <v>218</v>
      </c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5" t="s">
        <v>247</v>
      </c>
      <c r="AQ79" s="86"/>
      <c r="AR79" s="87">
        <v>0.45369</v>
      </c>
      <c r="AS79" s="88"/>
      <c r="AT79" s="88"/>
      <c r="AU79" s="88"/>
      <c r="AV79" s="88"/>
      <c r="AW79" s="87"/>
      <c r="AX79" s="88"/>
      <c r="AY79" s="88"/>
      <c r="AZ79" s="88"/>
      <c r="BA79" s="88"/>
      <c r="BB79" s="88"/>
      <c r="BC79" s="88"/>
      <c r="BD79" s="88"/>
      <c r="BE79" s="87">
        <f>IR79*AR79+IS79*AR79</f>
        <v>0</v>
      </c>
      <c r="BF79" s="88"/>
      <c r="BG79" s="88"/>
      <c r="BH79" s="88"/>
      <c r="BI79" s="88"/>
      <c r="BJ79" s="88"/>
      <c r="BK79" s="88"/>
      <c r="BL79" s="88"/>
      <c r="IR79" s="7">
        <f>AW79*0</f>
        <v>0</v>
      </c>
      <c r="IS79" s="7">
        <f>AW79*(1-0)</f>
        <v>0</v>
      </c>
    </row>
    <row r="80" spans="1:64" ht="12.75">
      <c r="A80" s="89" t="s">
        <v>6</v>
      </c>
      <c r="B80" s="90"/>
      <c r="C80" s="89" t="s">
        <v>136</v>
      </c>
      <c r="D80" s="90"/>
      <c r="E80" s="90"/>
      <c r="F80" s="90"/>
      <c r="G80" s="90"/>
      <c r="H80" s="90"/>
      <c r="I80" s="89" t="s">
        <v>193</v>
      </c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89" t="s">
        <v>6</v>
      </c>
      <c r="AQ80" s="90"/>
      <c r="AR80" s="91" t="s">
        <v>6</v>
      </c>
      <c r="AS80" s="92"/>
      <c r="AT80" s="92"/>
      <c r="AU80" s="92"/>
      <c r="AV80" s="92"/>
      <c r="AW80" s="91" t="s">
        <v>6</v>
      </c>
      <c r="AX80" s="92"/>
      <c r="AY80" s="92"/>
      <c r="AZ80" s="92"/>
      <c r="BA80" s="92"/>
      <c r="BB80" s="92"/>
      <c r="BC80" s="92"/>
      <c r="BD80" s="92"/>
      <c r="BE80" s="93">
        <f>SUM(BE81:BE81)</f>
        <v>0</v>
      </c>
      <c r="BF80" s="92"/>
      <c r="BG80" s="92"/>
      <c r="BH80" s="92"/>
      <c r="BI80" s="92"/>
      <c r="BJ80" s="92"/>
      <c r="BK80" s="92"/>
      <c r="BL80" s="92"/>
    </row>
    <row r="81" spans="1:253" ht="12.75">
      <c r="A81" s="85" t="s">
        <v>54</v>
      </c>
      <c r="B81" s="86"/>
      <c r="C81" s="85" t="s">
        <v>137</v>
      </c>
      <c r="D81" s="86"/>
      <c r="E81" s="86"/>
      <c r="F81" s="86"/>
      <c r="G81" s="86"/>
      <c r="H81" s="86"/>
      <c r="I81" s="85" t="s">
        <v>219</v>
      </c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5" t="s">
        <v>247</v>
      </c>
      <c r="AQ81" s="86"/>
      <c r="AR81" s="87">
        <v>1.28056</v>
      </c>
      <c r="AS81" s="88"/>
      <c r="AT81" s="88"/>
      <c r="AU81" s="88"/>
      <c r="AV81" s="88"/>
      <c r="AW81" s="87"/>
      <c r="AX81" s="88"/>
      <c r="AY81" s="88"/>
      <c r="AZ81" s="88"/>
      <c r="BA81" s="88"/>
      <c r="BB81" s="88"/>
      <c r="BC81" s="88"/>
      <c r="BD81" s="88"/>
      <c r="BE81" s="87">
        <f>IR81*AR81+IS81*AR81</f>
        <v>0</v>
      </c>
      <c r="BF81" s="88"/>
      <c r="BG81" s="88"/>
      <c r="BH81" s="88"/>
      <c r="BI81" s="88"/>
      <c r="BJ81" s="88"/>
      <c r="BK81" s="88"/>
      <c r="BL81" s="88"/>
      <c r="IR81" s="7">
        <f>AW81*0</f>
        <v>0</v>
      </c>
      <c r="IS81" s="7">
        <f>AW81*(1-0)</f>
        <v>0</v>
      </c>
    </row>
    <row r="82" spans="1:64" ht="12.75">
      <c r="A82" s="89" t="s">
        <v>6</v>
      </c>
      <c r="B82" s="90"/>
      <c r="C82" s="89" t="s">
        <v>138</v>
      </c>
      <c r="D82" s="90"/>
      <c r="E82" s="90"/>
      <c r="F82" s="90"/>
      <c r="G82" s="90"/>
      <c r="H82" s="90"/>
      <c r="I82" s="89" t="s">
        <v>220</v>
      </c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89" t="s">
        <v>6</v>
      </c>
      <c r="AQ82" s="90"/>
      <c r="AR82" s="91" t="s">
        <v>6</v>
      </c>
      <c r="AS82" s="92"/>
      <c r="AT82" s="92"/>
      <c r="AU82" s="92"/>
      <c r="AV82" s="92"/>
      <c r="AW82" s="91" t="s">
        <v>6</v>
      </c>
      <c r="AX82" s="92"/>
      <c r="AY82" s="92"/>
      <c r="AZ82" s="92"/>
      <c r="BA82" s="92"/>
      <c r="BB82" s="92"/>
      <c r="BC82" s="92"/>
      <c r="BD82" s="92"/>
      <c r="BE82" s="93">
        <f>SUM(BE83:BE83)</f>
        <v>0</v>
      </c>
      <c r="BF82" s="92"/>
      <c r="BG82" s="92"/>
      <c r="BH82" s="92"/>
      <c r="BI82" s="92"/>
      <c r="BJ82" s="92"/>
      <c r="BK82" s="92"/>
      <c r="BL82" s="92"/>
    </row>
    <row r="83" spans="1:253" ht="12.75">
      <c r="A83" s="85" t="s">
        <v>55</v>
      </c>
      <c r="B83" s="86"/>
      <c r="C83" s="85" t="s">
        <v>139</v>
      </c>
      <c r="D83" s="86"/>
      <c r="E83" s="86"/>
      <c r="F83" s="86"/>
      <c r="G83" s="86"/>
      <c r="H83" s="86"/>
      <c r="I83" s="85" t="s">
        <v>221</v>
      </c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5" t="s">
        <v>247</v>
      </c>
      <c r="AQ83" s="86"/>
      <c r="AR83" s="87">
        <v>2.03359</v>
      </c>
      <c r="AS83" s="88"/>
      <c r="AT83" s="88"/>
      <c r="AU83" s="88"/>
      <c r="AV83" s="88"/>
      <c r="AW83" s="87"/>
      <c r="AX83" s="88"/>
      <c r="AY83" s="88"/>
      <c r="AZ83" s="88"/>
      <c r="BA83" s="88"/>
      <c r="BB83" s="88"/>
      <c r="BC83" s="88"/>
      <c r="BD83" s="88"/>
      <c r="BE83" s="87">
        <f>IR83*AR83+IS83*AR83</f>
        <v>0</v>
      </c>
      <c r="BF83" s="88"/>
      <c r="BG83" s="88"/>
      <c r="BH83" s="88"/>
      <c r="BI83" s="88"/>
      <c r="BJ83" s="88"/>
      <c r="BK83" s="88"/>
      <c r="BL83" s="88"/>
      <c r="IR83" s="7">
        <f>AW83*0</f>
        <v>0</v>
      </c>
      <c r="IS83" s="7">
        <f>AW83*(1-0)</f>
        <v>0</v>
      </c>
    </row>
    <row r="84" spans="1:64" ht="12.75">
      <c r="A84" s="89" t="s">
        <v>6</v>
      </c>
      <c r="B84" s="90"/>
      <c r="C84" s="89" t="s">
        <v>140</v>
      </c>
      <c r="D84" s="90"/>
      <c r="E84" s="90"/>
      <c r="F84" s="90"/>
      <c r="G84" s="90"/>
      <c r="H84" s="90"/>
      <c r="I84" s="89" t="s">
        <v>222</v>
      </c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89" t="s">
        <v>6</v>
      </c>
      <c r="AQ84" s="90"/>
      <c r="AR84" s="91" t="s">
        <v>6</v>
      </c>
      <c r="AS84" s="92"/>
      <c r="AT84" s="92"/>
      <c r="AU84" s="92"/>
      <c r="AV84" s="92"/>
      <c r="AW84" s="91" t="s">
        <v>6</v>
      </c>
      <c r="AX84" s="92"/>
      <c r="AY84" s="92"/>
      <c r="AZ84" s="92"/>
      <c r="BA84" s="92"/>
      <c r="BB84" s="92"/>
      <c r="BC84" s="92"/>
      <c r="BD84" s="92"/>
      <c r="BE84" s="93">
        <f>SUM(BE85:BE85)</f>
        <v>0</v>
      </c>
      <c r="BF84" s="92"/>
      <c r="BG84" s="92"/>
      <c r="BH84" s="92"/>
      <c r="BI84" s="92"/>
      <c r="BJ84" s="92"/>
      <c r="BK84" s="92"/>
      <c r="BL84" s="92"/>
    </row>
    <row r="85" spans="1:253" ht="12.75">
      <c r="A85" s="85" t="s">
        <v>56</v>
      </c>
      <c r="B85" s="86"/>
      <c r="C85" s="85" t="s">
        <v>141</v>
      </c>
      <c r="D85" s="86"/>
      <c r="E85" s="86"/>
      <c r="F85" s="86"/>
      <c r="G85" s="86"/>
      <c r="H85" s="86"/>
      <c r="I85" s="85" t="s">
        <v>223</v>
      </c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5" t="s">
        <v>245</v>
      </c>
      <c r="AQ85" s="86"/>
      <c r="AR85" s="87">
        <v>1</v>
      </c>
      <c r="AS85" s="88"/>
      <c r="AT85" s="88"/>
      <c r="AU85" s="88"/>
      <c r="AV85" s="88"/>
      <c r="AW85" s="87"/>
      <c r="AX85" s="88"/>
      <c r="AY85" s="88"/>
      <c r="AZ85" s="88"/>
      <c r="BA85" s="88"/>
      <c r="BB85" s="88"/>
      <c r="BC85" s="88"/>
      <c r="BD85" s="88"/>
      <c r="BE85" s="87">
        <f>IR85*AR85+IS85*AR85</f>
        <v>0</v>
      </c>
      <c r="BF85" s="88"/>
      <c r="BG85" s="88"/>
      <c r="BH85" s="88"/>
      <c r="BI85" s="88"/>
      <c r="BJ85" s="88"/>
      <c r="BK85" s="88"/>
      <c r="BL85" s="88"/>
      <c r="IR85" s="7">
        <f>AW85*0.104898095238095</f>
        <v>0</v>
      </c>
      <c r="IS85" s="7">
        <f>AW85*(1-0.104898095238095)</f>
        <v>0</v>
      </c>
    </row>
    <row r="86" spans="1:64" ht="12.75">
      <c r="A86" s="89" t="s">
        <v>6</v>
      </c>
      <c r="B86" s="90"/>
      <c r="C86" s="89" t="s">
        <v>142</v>
      </c>
      <c r="D86" s="90"/>
      <c r="E86" s="90"/>
      <c r="F86" s="90"/>
      <c r="G86" s="90"/>
      <c r="H86" s="90"/>
      <c r="I86" s="89" t="s">
        <v>224</v>
      </c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89" t="s">
        <v>6</v>
      </c>
      <c r="AQ86" s="90"/>
      <c r="AR86" s="91" t="s">
        <v>6</v>
      </c>
      <c r="AS86" s="92"/>
      <c r="AT86" s="92"/>
      <c r="AU86" s="92"/>
      <c r="AV86" s="92"/>
      <c r="AW86" s="91" t="s">
        <v>6</v>
      </c>
      <c r="AX86" s="92"/>
      <c r="AY86" s="92"/>
      <c r="AZ86" s="92"/>
      <c r="BA86" s="92"/>
      <c r="BB86" s="92"/>
      <c r="BC86" s="92"/>
      <c r="BD86" s="92"/>
      <c r="BE86" s="93">
        <f>SUM(BE87:BE92)</f>
        <v>0</v>
      </c>
      <c r="BF86" s="92"/>
      <c r="BG86" s="92"/>
      <c r="BH86" s="92"/>
      <c r="BI86" s="92"/>
      <c r="BJ86" s="92"/>
      <c r="BK86" s="92"/>
      <c r="BL86" s="92"/>
    </row>
    <row r="87" spans="1:253" ht="12.75">
      <c r="A87" s="85" t="s">
        <v>57</v>
      </c>
      <c r="B87" s="86"/>
      <c r="C87" s="85" t="s">
        <v>143</v>
      </c>
      <c r="D87" s="86"/>
      <c r="E87" s="86"/>
      <c r="F87" s="86"/>
      <c r="G87" s="86"/>
      <c r="H87" s="86"/>
      <c r="I87" s="85" t="s">
        <v>225</v>
      </c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5" t="s">
        <v>247</v>
      </c>
      <c r="AQ87" s="86"/>
      <c r="AR87" s="87">
        <v>4.31243</v>
      </c>
      <c r="AS87" s="88"/>
      <c r="AT87" s="88"/>
      <c r="AU87" s="88"/>
      <c r="AV87" s="88"/>
      <c r="AW87" s="87"/>
      <c r="AX87" s="88"/>
      <c r="AY87" s="88"/>
      <c r="AZ87" s="88"/>
      <c r="BA87" s="88"/>
      <c r="BB87" s="88"/>
      <c r="BC87" s="88"/>
      <c r="BD87" s="88"/>
      <c r="BE87" s="87">
        <f aca="true" t="shared" si="1" ref="BE87:BE92">IR87*AR87+IS87*AR87</f>
        <v>0</v>
      </c>
      <c r="BF87" s="88"/>
      <c r="BG87" s="88"/>
      <c r="BH87" s="88"/>
      <c r="BI87" s="88"/>
      <c r="BJ87" s="88"/>
      <c r="BK87" s="88"/>
      <c r="BL87" s="88"/>
      <c r="IR87" s="7">
        <f aca="true" t="shared" si="2" ref="IR87:IR92">AW87*0</f>
        <v>0</v>
      </c>
      <c r="IS87" s="7">
        <f aca="true" t="shared" si="3" ref="IS87:IS92">AW87*(1-0)</f>
        <v>0</v>
      </c>
    </row>
    <row r="88" spans="1:253" ht="12.75">
      <c r="A88" s="85" t="s">
        <v>58</v>
      </c>
      <c r="B88" s="86"/>
      <c r="C88" s="85" t="s">
        <v>144</v>
      </c>
      <c r="D88" s="86"/>
      <c r="E88" s="86"/>
      <c r="F88" s="86"/>
      <c r="G88" s="86"/>
      <c r="H88" s="86"/>
      <c r="I88" s="85" t="s">
        <v>226</v>
      </c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5" t="s">
        <v>247</v>
      </c>
      <c r="AQ88" s="86"/>
      <c r="AR88" s="87">
        <v>4.31243</v>
      </c>
      <c r="AS88" s="88"/>
      <c r="AT88" s="88"/>
      <c r="AU88" s="88"/>
      <c r="AV88" s="88"/>
      <c r="AW88" s="87"/>
      <c r="AX88" s="88"/>
      <c r="AY88" s="88"/>
      <c r="AZ88" s="88"/>
      <c r="BA88" s="88"/>
      <c r="BB88" s="88"/>
      <c r="BC88" s="88"/>
      <c r="BD88" s="88"/>
      <c r="BE88" s="87">
        <f t="shared" si="1"/>
        <v>0</v>
      </c>
      <c r="BF88" s="88"/>
      <c r="BG88" s="88"/>
      <c r="BH88" s="88"/>
      <c r="BI88" s="88"/>
      <c r="BJ88" s="88"/>
      <c r="BK88" s="88"/>
      <c r="BL88" s="88"/>
      <c r="IR88" s="7">
        <f t="shared" si="2"/>
        <v>0</v>
      </c>
      <c r="IS88" s="7">
        <f t="shared" si="3"/>
        <v>0</v>
      </c>
    </row>
    <row r="89" spans="1:253" ht="12.75">
      <c r="A89" s="85" t="s">
        <v>59</v>
      </c>
      <c r="B89" s="86"/>
      <c r="C89" s="85" t="s">
        <v>145</v>
      </c>
      <c r="D89" s="86"/>
      <c r="E89" s="86"/>
      <c r="F89" s="86"/>
      <c r="G89" s="86"/>
      <c r="H89" s="86"/>
      <c r="I89" s="85" t="s">
        <v>227</v>
      </c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5" t="s">
        <v>247</v>
      </c>
      <c r="AQ89" s="86"/>
      <c r="AR89" s="87">
        <v>4.31243</v>
      </c>
      <c r="AS89" s="88"/>
      <c r="AT89" s="88"/>
      <c r="AU89" s="88"/>
      <c r="AV89" s="88"/>
      <c r="AW89" s="87"/>
      <c r="AX89" s="88"/>
      <c r="AY89" s="88"/>
      <c r="AZ89" s="88"/>
      <c r="BA89" s="88"/>
      <c r="BB89" s="88"/>
      <c r="BC89" s="88"/>
      <c r="BD89" s="88"/>
      <c r="BE89" s="87">
        <f t="shared" si="1"/>
        <v>0</v>
      </c>
      <c r="BF89" s="88"/>
      <c r="BG89" s="88"/>
      <c r="BH89" s="88"/>
      <c r="BI89" s="88"/>
      <c r="BJ89" s="88"/>
      <c r="BK89" s="88"/>
      <c r="BL89" s="88"/>
      <c r="IR89" s="7">
        <f t="shared" si="2"/>
        <v>0</v>
      </c>
      <c r="IS89" s="7">
        <f t="shared" si="3"/>
        <v>0</v>
      </c>
    </row>
    <row r="90" spans="1:253" ht="12.75">
      <c r="A90" s="85" t="s">
        <v>60</v>
      </c>
      <c r="B90" s="86"/>
      <c r="C90" s="85" t="s">
        <v>146</v>
      </c>
      <c r="D90" s="86"/>
      <c r="E90" s="86"/>
      <c r="F90" s="86"/>
      <c r="G90" s="86"/>
      <c r="H90" s="86"/>
      <c r="I90" s="85" t="s">
        <v>228</v>
      </c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5" t="s">
        <v>247</v>
      </c>
      <c r="AQ90" s="86"/>
      <c r="AR90" s="87">
        <v>4.31243</v>
      </c>
      <c r="AS90" s="88"/>
      <c r="AT90" s="88"/>
      <c r="AU90" s="88"/>
      <c r="AV90" s="88"/>
      <c r="AW90" s="87"/>
      <c r="AX90" s="88"/>
      <c r="AY90" s="88"/>
      <c r="AZ90" s="88"/>
      <c r="BA90" s="88"/>
      <c r="BB90" s="88"/>
      <c r="BC90" s="88"/>
      <c r="BD90" s="88"/>
      <c r="BE90" s="87">
        <f t="shared" si="1"/>
        <v>0</v>
      </c>
      <c r="BF90" s="88"/>
      <c r="BG90" s="88"/>
      <c r="BH90" s="88"/>
      <c r="BI90" s="88"/>
      <c r="BJ90" s="88"/>
      <c r="BK90" s="88"/>
      <c r="BL90" s="88"/>
      <c r="IR90" s="7">
        <f t="shared" si="2"/>
        <v>0</v>
      </c>
      <c r="IS90" s="7">
        <f t="shared" si="3"/>
        <v>0</v>
      </c>
    </row>
    <row r="91" spans="1:253" ht="12.75">
      <c r="A91" s="85" t="s">
        <v>61</v>
      </c>
      <c r="B91" s="86"/>
      <c r="C91" s="85" t="s">
        <v>147</v>
      </c>
      <c r="D91" s="86"/>
      <c r="E91" s="86"/>
      <c r="F91" s="86"/>
      <c r="G91" s="86"/>
      <c r="H91" s="86"/>
      <c r="I91" s="85" t="s">
        <v>229</v>
      </c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5" t="s">
        <v>247</v>
      </c>
      <c r="AQ91" s="86"/>
      <c r="AR91" s="87">
        <v>21.56215</v>
      </c>
      <c r="AS91" s="88"/>
      <c r="AT91" s="88"/>
      <c r="AU91" s="88"/>
      <c r="AV91" s="88"/>
      <c r="AW91" s="87"/>
      <c r="AX91" s="88"/>
      <c r="AY91" s="88"/>
      <c r="AZ91" s="88"/>
      <c r="BA91" s="88"/>
      <c r="BB91" s="88"/>
      <c r="BC91" s="88"/>
      <c r="BD91" s="88"/>
      <c r="BE91" s="87">
        <f t="shared" si="1"/>
        <v>0</v>
      </c>
      <c r="BF91" s="88"/>
      <c r="BG91" s="88"/>
      <c r="BH91" s="88"/>
      <c r="BI91" s="88"/>
      <c r="BJ91" s="88"/>
      <c r="BK91" s="88"/>
      <c r="BL91" s="88"/>
      <c r="IR91" s="7">
        <f t="shared" si="2"/>
        <v>0</v>
      </c>
      <c r="IS91" s="7">
        <f t="shared" si="3"/>
        <v>0</v>
      </c>
    </row>
    <row r="92" spans="1:253" ht="12.75">
      <c r="A92" s="85" t="s">
        <v>62</v>
      </c>
      <c r="B92" s="86"/>
      <c r="C92" s="85" t="s">
        <v>148</v>
      </c>
      <c r="D92" s="86"/>
      <c r="E92" s="86"/>
      <c r="F92" s="86"/>
      <c r="G92" s="86"/>
      <c r="H92" s="86"/>
      <c r="I92" s="85" t="s">
        <v>230</v>
      </c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5" t="s">
        <v>247</v>
      </c>
      <c r="AQ92" s="86"/>
      <c r="AR92" s="87">
        <v>4.31243</v>
      </c>
      <c r="AS92" s="88"/>
      <c r="AT92" s="88"/>
      <c r="AU92" s="88"/>
      <c r="AV92" s="88"/>
      <c r="AW92" s="87"/>
      <c r="AX92" s="88"/>
      <c r="AY92" s="88"/>
      <c r="AZ92" s="88"/>
      <c r="BA92" s="88"/>
      <c r="BB92" s="88"/>
      <c r="BC92" s="88"/>
      <c r="BD92" s="88"/>
      <c r="BE92" s="87">
        <f t="shared" si="1"/>
        <v>0</v>
      </c>
      <c r="BF92" s="88"/>
      <c r="BG92" s="88"/>
      <c r="BH92" s="88"/>
      <c r="BI92" s="88"/>
      <c r="BJ92" s="88"/>
      <c r="BK92" s="88"/>
      <c r="BL92" s="88"/>
      <c r="IR92" s="7">
        <f t="shared" si="2"/>
        <v>0</v>
      </c>
      <c r="IS92" s="7">
        <f t="shared" si="3"/>
        <v>0</v>
      </c>
    </row>
    <row r="93" spans="1:64" ht="12.75">
      <c r="A93" s="89" t="s">
        <v>6</v>
      </c>
      <c r="B93" s="90"/>
      <c r="C93" s="89"/>
      <c r="D93" s="90"/>
      <c r="E93" s="90"/>
      <c r="F93" s="90"/>
      <c r="G93" s="90"/>
      <c r="H93" s="90"/>
      <c r="I93" s="89" t="s">
        <v>231</v>
      </c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89" t="s">
        <v>6</v>
      </c>
      <c r="AQ93" s="90"/>
      <c r="AR93" s="91" t="s">
        <v>6</v>
      </c>
      <c r="AS93" s="92"/>
      <c r="AT93" s="92"/>
      <c r="AU93" s="92"/>
      <c r="AV93" s="92"/>
      <c r="AW93" s="91" t="s">
        <v>6</v>
      </c>
      <c r="AX93" s="92"/>
      <c r="AY93" s="92"/>
      <c r="AZ93" s="92"/>
      <c r="BA93" s="92"/>
      <c r="BB93" s="92"/>
      <c r="BC93" s="92"/>
      <c r="BD93" s="92"/>
      <c r="BE93" s="94">
        <f>SUM(BE94:BE98)</f>
        <v>0</v>
      </c>
      <c r="BF93" s="95"/>
      <c r="BG93" s="95"/>
      <c r="BH93" s="95"/>
      <c r="BI93" s="95"/>
      <c r="BJ93" s="95"/>
      <c r="BK93" s="95"/>
      <c r="BL93" s="95"/>
    </row>
    <row r="94" spans="1:253" ht="12.75">
      <c r="A94" s="96" t="s">
        <v>63</v>
      </c>
      <c r="B94" s="97"/>
      <c r="C94" s="96" t="s">
        <v>149</v>
      </c>
      <c r="D94" s="97"/>
      <c r="E94" s="97"/>
      <c r="F94" s="97"/>
      <c r="G94" s="97"/>
      <c r="H94" s="97"/>
      <c r="I94" s="96" t="s">
        <v>232</v>
      </c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6" t="s">
        <v>242</v>
      </c>
      <c r="AQ94" s="97"/>
      <c r="AR94" s="98">
        <v>85</v>
      </c>
      <c r="AS94" s="99"/>
      <c r="AT94" s="99"/>
      <c r="AU94" s="99"/>
      <c r="AV94" s="99"/>
      <c r="AW94" s="98"/>
      <c r="AX94" s="99"/>
      <c r="AY94" s="99"/>
      <c r="AZ94" s="99"/>
      <c r="BA94" s="99"/>
      <c r="BB94" s="99"/>
      <c r="BC94" s="99"/>
      <c r="BD94" s="99"/>
      <c r="BE94" s="98">
        <f>IR94*AR94+IS94*AR94</f>
        <v>0</v>
      </c>
      <c r="BF94" s="99"/>
      <c r="BG94" s="99"/>
      <c r="BH94" s="99"/>
      <c r="BI94" s="99"/>
      <c r="BJ94" s="99"/>
      <c r="BK94" s="99"/>
      <c r="BL94" s="99"/>
      <c r="IR94" s="8">
        <f>AW94*1</f>
        <v>0</v>
      </c>
      <c r="IS94" s="8">
        <f>AW94*(1-1)</f>
        <v>0</v>
      </c>
    </row>
    <row r="95" spans="1:253" ht="12.75">
      <c r="A95" s="96" t="s">
        <v>64</v>
      </c>
      <c r="B95" s="97"/>
      <c r="C95" s="96" t="s">
        <v>150</v>
      </c>
      <c r="D95" s="97"/>
      <c r="E95" s="97"/>
      <c r="F95" s="97"/>
      <c r="G95" s="97"/>
      <c r="H95" s="97"/>
      <c r="I95" s="96" t="s">
        <v>233</v>
      </c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6" t="s">
        <v>242</v>
      </c>
      <c r="AQ95" s="97"/>
      <c r="AR95" s="98">
        <v>19</v>
      </c>
      <c r="AS95" s="99"/>
      <c r="AT95" s="99"/>
      <c r="AU95" s="99"/>
      <c r="AV95" s="99"/>
      <c r="AW95" s="98"/>
      <c r="AX95" s="99"/>
      <c r="AY95" s="99"/>
      <c r="AZ95" s="99"/>
      <c r="BA95" s="99"/>
      <c r="BB95" s="99"/>
      <c r="BC95" s="99"/>
      <c r="BD95" s="99"/>
      <c r="BE95" s="98">
        <f>IR95*AR95+IS95*AR95</f>
        <v>0</v>
      </c>
      <c r="BF95" s="99"/>
      <c r="BG95" s="99"/>
      <c r="BH95" s="99"/>
      <c r="BI95" s="99"/>
      <c r="BJ95" s="99"/>
      <c r="BK95" s="99"/>
      <c r="BL95" s="99"/>
      <c r="IR95" s="8">
        <f>AW95*1</f>
        <v>0</v>
      </c>
      <c r="IS95" s="8">
        <f>AW95*(1-1)</f>
        <v>0</v>
      </c>
    </row>
    <row r="96" spans="1:253" ht="12.75">
      <c r="A96" s="96" t="s">
        <v>65</v>
      </c>
      <c r="B96" s="97"/>
      <c r="C96" s="96" t="s">
        <v>151</v>
      </c>
      <c r="D96" s="97"/>
      <c r="E96" s="97"/>
      <c r="F96" s="97"/>
      <c r="G96" s="97"/>
      <c r="H96" s="97"/>
      <c r="I96" s="96" t="s">
        <v>234</v>
      </c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6" t="s">
        <v>244</v>
      </c>
      <c r="AQ96" s="97"/>
      <c r="AR96" s="98">
        <v>4</v>
      </c>
      <c r="AS96" s="99"/>
      <c r="AT96" s="99"/>
      <c r="AU96" s="99"/>
      <c r="AV96" s="99"/>
      <c r="AW96" s="98"/>
      <c r="AX96" s="99"/>
      <c r="AY96" s="99"/>
      <c r="AZ96" s="99"/>
      <c r="BA96" s="99"/>
      <c r="BB96" s="99"/>
      <c r="BC96" s="99"/>
      <c r="BD96" s="99"/>
      <c r="BE96" s="98">
        <f>IR96*AR96+IS96*AR96</f>
        <v>0</v>
      </c>
      <c r="BF96" s="99"/>
      <c r="BG96" s="99"/>
      <c r="BH96" s="99"/>
      <c r="BI96" s="99"/>
      <c r="BJ96" s="99"/>
      <c r="BK96" s="99"/>
      <c r="BL96" s="99"/>
      <c r="IR96" s="8">
        <f>AW96*1</f>
        <v>0</v>
      </c>
      <c r="IS96" s="8">
        <f>AW96*(1-1)</f>
        <v>0</v>
      </c>
    </row>
    <row r="97" spans="1:253" ht="12.75">
      <c r="A97" s="96" t="s">
        <v>66</v>
      </c>
      <c r="B97" s="97"/>
      <c r="C97" s="96" t="s">
        <v>152</v>
      </c>
      <c r="D97" s="97"/>
      <c r="E97" s="97"/>
      <c r="F97" s="97"/>
      <c r="G97" s="97"/>
      <c r="H97" s="97"/>
      <c r="I97" s="96" t="s">
        <v>235</v>
      </c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6" t="s">
        <v>244</v>
      </c>
      <c r="AQ97" s="97"/>
      <c r="AR97" s="98">
        <v>5</v>
      </c>
      <c r="AS97" s="99"/>
      <c r="AT97" s="99"/>
      <c r="AU97" s="99"/>
      <c r="AV97" s="99"/>
      <c r="AW97" s="98"/>
      <c r="AX97" s="99"/>
      <c r="AY97" s="99"/>
      <c r="AZ97" s="99"/>
      <c r="BA97" s="99"/>
      <c r="BB97" s="99"/>
      <c r="BC97" s="99"/>
      <c r="BD97" s="99"/>
      <c r="BE97" s="98">
        <f>IR97*AR97+IS97*AR97</f>
        <v>0</v>
      </c>
      <c r="BF97" s="99"/>
      <c r="BG97" s="99"/>
      <c r="BH97" s="99"/>
      <c r="BI97" s="99"/>
      <c r="BJ97" s="99"/>
      <c r="BK97" s="99"/>
      <c r="BL97" s="99"/>
      <c r="IR97" s="8">
        <f>AW97*1</f>
        <v>0</v>
      </c>
      <c r="IS97" s="8">
        <f>AW97*(1-1)</f>
        <v>0</v>
      </c>
    </row>
    <row r="98" spans="1:253" ht="12.75">
      <c r="A98" s="96" t="s">
        <v>67</v>
      </c>
      <c r="B98" s="97"/>
      <c r="C98" s="96" t="s">
        <v>153</v>
      </c>
      <c r="D98" s="97"/>
      <c r="E98" s="97"/>
      <c r="F98" s="97"/>
      <c r="G98" s="97"/>
      <c r="H98" s="97"/>
      <c r="I98" s="96" t="s">
        <v>236</v>
      </c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6" t="s">
        <v>244</v>
      </c>
      <c r="AQ98" s="97"/>
      <c r="AR98" s="98">
        <v>1</v>
      </c>
      <c r="AS98" s="99"/>
      <c r="AT98" s="99"/>
      <c r="AU98" s="99"/>
      <c r="AV98" s="99"/>
      <c r="AW98" s="98"/>
      <c r="AX98" s="99"/>
      <c r="AY98" s="99"/>
      <c r="AZ98" s="99"/>
      <c r="BA98" s="99"/>
      <c r="BB98" s="99"/>
      <c r="BC98" s="99"/>
      <c r="BD98" s="99"/>
      <c r="BE98" s="98">
        <f>IR98*AR98+IS98*AR98</f>
        <v>0</v>
      </c>
      <c r="BF98" s="99"/>
      <c r="BG98" s="99"/>
      <c r="BH98" s="99"/>
      <c r="BI98" s="99"/>
      <c r="BJ98" s="99"/>
      <c r="BK98" s="99"/>
      <c r="BL98" s="99"/>
      <c r="IR98" s="8">
        <f>AW98*1</f>
        <v>0</v>
      </c>
      <c r="IS98" s="8">
        <f>AW98*(1-1)</f>
        <v>0</v>
      </c>
    </row>
    <row r="100" spans="49:64" ht="12.75">
      <c r="AW100" s="100" t="s">
        <v>254</v>
      </c>
      <c r="AX100" s="65"/>
      <c r="AY100" s="65"/>
      <c r="AZ100" s="65"/>
      <c r="BA100" s="65"/>
      <c r="BB100" s="65"/>
      <c r="BC100" s="65"/>
      <c r="BD100" s="65"/>
      <c r="BE100" s="101">
        <f>BE11+BE13+BE20+BE22+BE24+BE28+BE30+BE35+BE37+BE41+BE44+BE49+BE53+BE55+BE60+BE62+BE67+BE70+BE72+BE74+BE76+BE78+BE80+BE82+BE84+BE86+BE93</f>
        <v>0</v>
      </c>
      <c r="BF100" s="102"/>
      <c r="BG100" s="102"/>
      <c r="BH100" s="102"/>
      <c r="BI100" s="102"/>
      <c r="BJ100" s="102"/>
      <c r="BK100" s="102"/>
      <c r="BL100" s="102"/>
    </row>
  </sheetData>
  <sheetProtection/>
  <mergeCells count="650">
    <mergeCell ref="BE98:BL98"/>
    <mergeCell ref="AW100:BD100"/>
    <mergeCell ref="BE100:BL100"/>
    <mergeCell ref="A98:B98"/>
    <mergeCell ref="C98:H98"/>
    <mergeCell ref="I98:AO98"/>
    <mergeCell ref="AP98:AQ98"/>
    <mergeCell ref="AR98:AV98"/>
    <mergeCell ref="AW98:BD98"/>
    <mergeCell ref="BE96:BL96"/>
    <mergeCell ref="A97:B97"/>
    <mergeCell ref="C97:H97"/>
    <mergeCell ref="I97:AO97"/>
    <mergeCell ref="AP97:AQ97"/>
    <mergeCell ref="AR97:AV97"/>
    <mergeCell ref="AW97:BD97"/>
    <mergeCell ref="BE97:BL97"/>
    <mergeCell ref="A96:B96"/>
    <mergeCell ref="C96:H96"/>
    <mergeCell ref="I96:AO96"/>
    <mergeCell ref="AP96:AQ96"/>
    <mergeCell ref="AR96:AV96"/>
    <mergeCell ref="AW96:BD96"/>
    <mergeCell ref="BE94:BL94"/>
    <mergeCell ref="A95:B95"/>
    <mergeCell ref="C95:H95"/>
    <mergeCell ref="I95:AO95"/>
    <mergeCell ref="AP95:AQ95"/>
    <mergeCell ref="AR95:AV95"/>
    <mergeCell ref="AW95:BD95"/>
    <mergeCell ref="BE95:BL95"/>
    <mergeCell ref="A94:B94"/>
    <mergeCell ref="C94:H94"/>
    <mergeCell ref="I94:AO94"/>
    <mergeCell ref="AP94:AQ94"/>
    <mergeCell ref="AR94:AV94"/>
    <mergeCell ref="AW94:BD94"/>
    <mergeCell ref="BE92:BL92"/>
    <mergeCell ref="A93:B93"/>
    <mergeCell ref="C93:H93"/>
    <mergeCell ref="I93:AO93"/>
    <mergeCell ref="AP93:AQ93"/>
    <mergeCell ref="AR93:AV93"/>
    <mergeCell ref="AW93:BD93"/>
    <mergeCell ref="BE93:BL93"/>
    <mergeCell ref="A92:B92"/>
    <mergeCell ref="C92:H92"/>
    <mergeCell ref="I92:AO92"/>
    <mergeCell ref="AP92:AQ92"/>
    <mergeCell ref="AR92:AV92"/>
    <mergeCell ref="AW92:BD92"/>
    <mergeCell ref="BE90:BL90"/>
    <mergeCell ref="A91:B91"/>
    <mergeCell ref="C91:H91"/>
    <mergeCell ref="I91:AO91"/>
    <mergeCell ref="AP91:AQ91"/>
    <mergeCell ref="AR91:AV91"/>
    <mergeCell ref="AW91:BD91"/>
    <mergeCell ref="BE91:BL91"/>
    <mergeCell ref="A90:B90"/>
    <mergeCell ref="C90:H90"/>
    <mergeCell ref="I90:AO90"/>
    <mergeCell ref="AP90:AQ90"/>
    <mergeCell ref="AR90:AV90"/>
    <mergeCell ref="AW90:BD90"/>
    <mergeCell ref="BE88:BL88"/>
    <mergeCell ref="A89:B89"/>
    <mergeCell ref="C89:H89"/>
    <mergeCell ref="I89:AO89"/>
    <mergeCell ref="AP89:AQ89"/>
    <mergeCell ref="AR89:AV89"/>
    <mergeCell ref="AW89:BD89"/>
    <mergeCell ref="BE89:BL89"/>
    <mergeCell ref="A88:B88"/>
    <mergeCell ref="C88:H88"/>
    <mergeCell ref="I88:AO88"/>
    <mergeCell ref="AP88:AQ88"/>
    <mergeCell ref="AR88:AV88"/>
    <mergeCell ref="AW88:BD88"/>
    <mergeCell ref="BE86:BL86"/>
    <mergeCell ref="A87:B87"/>
    <mergeCell ref="C87:H87"/>
    <mergeCell ref="I87:AO87"/>
    <mergeCell ref="AP87:AQ87"/>
    <mergeCell ref="AR87:AV87"/>
    <mergeCell ref="AW87:BD87"/>
    <mergeCell ref="BE87:BL87"/>
    <mergeCell ref="A86:B86"/>
    <mergeCell ref="C86:H86"/>
    <mergeCell ref="I86:AO86"/>
    <mergeCell ref="AP86:AQ86"/>
    <mergeCell ref="AR86:AV86"/>
    <mergeCell ref="AW86:BD86"/>
    <mergeCell ref="BE84:BL84"/>
    <mergeCell ref="A85:B85"/>
    <mergeCell ref="C85:H85"/>
    <mergeCell ref="I85:AO85"/>
    <mergeCell ref="AP85:AQ85"/>
    <mergeCell ref="AR85:AV85"/>
    <mergeCell ref="AW85:BD85"/>
    <mergeCell ref="BE85:BL85"/>
    <mergeCell ref="A84:B84"/>
    <mergeCell ref="C84:H84"/>
    <mergeCell ref="I84:AO84"/>
    <mergeCell ref="AP84:AQ84"/>
    <mergeCell ref="AR84:AV84"/>
    <mergeCell ref="AW84:BD84"/>
    <mergeCell ref="BE82:BL82"/>
    <mergeCell ref="A83:B83"/>
    <mergeCell ref="C83:H83"/>
    <mergeCell ref="I83:AO83"/>
    <mergeCell ref="AP83:AQ83"/>
    <mergeCell ref="AR83:AV83"/>
    <mergeCell ref="AW83:BD83"/>
    <mergeCell ref="BE83:BL83"/>
    <mergeCell ref="A82:B82"/>
    <mergeCell ref="C82:H82"/>
    <mergeCell ref="I82:AO82"/>
    <mergeCell ref="AP82:AQ82"/>
    <mergeCell ref="AR82:AV82"/>
    <mergeCell ref="AW82:BD82"/>
    <mergeCell ref="BE80:BL80"/>
    <mergeCell ref="A81:B81"/>
    <mergeCell ref="C81:H81"/>
    <mergeCell ref="I81:AO81"/>
    <mergeCell ref="AP81:AQ81"/>
    <mergeCell ref="AR81:AV81"/>
    <mergeCell ref="AW81:BD81"/>
    <mergeCell ref="BE81:BL81"/>
    <mergeCell ref="A80:B80"/>
    <mergeCell ref="C80:H80"/>
    <mergeCell ref="I80:AO80"/>
    <mergeCell ref="AP80:AQ80"/>
    <mergeCell ref="AR80:AV80"/>
    <mergeCell ref="AW80:BD80"/>
    <mergeCell ref="BE78:BL78"/>
    <mergeCell ref="A79:B79"/>
    <mergeCell ref="C79:H79"/>
    <mergeCell ref="I79:AO79"/>
    <mergeCell ref="AP79:AQ79"/>
    <mergeCell ref="AR79:AV79"/>
    <mergeCell ref="AW79:BD79"/>
    <mergeCell ref="BE79:BL79"/>
    <mergeCell ref="A78:B78"/>
    <mergeCell ref="C78:H78"/>
    <mergeCell ref="I78:AO78"/>
    <mergeCell ref="AP78:AQ78"/>
    <mergeCell ref="AR78:AV78"/>
    <mergeCell ref="AW78:BD78"/>
    <mergeCell ref="BE76:BL76"/>
    <mergeCell ref="A77:B77"/>
    <mergeCell ref="C77:H77"/>
    <mergeCell ref="I77:AO77"/>
    <mergeCell ref="AP77:AQ77"/>
    <mergeCell ref="AR77:AV77"/>
    <mergeCell ref="AW77:BD77"/>
    <mergeCell ref="BE77:BL77"/>
    <mergeCell ref="A76:B76"/>
    <mergeCell ref="C76:H76"/>
    <mergeCell ref="I76:AO76"/>
    <mergeCell ref="AP76:AQ76"/>
    <mergeCell ref="AR76:AV76"/>
    <mergeCell ref="AW76:BD76"/>
    <mergeCell ref="BE74:BL74"/>
    <mergeCell ref="A75:B75"/>
    <mergeCell ref="C75:H75"/>
    <mergeCell ref="I75:AO75"/>
    <mergeCell ref="AP75:AQ75"/>
    <mergeCell ref="AR75:AV75"/>
    <mergeCell ref="AW75:BD75"/>
    <mergeCell ref="BE75:BL75"/>
    <mergeCell ref="A74:B74"/>
    <mergeCell ref="C74:H74"/>
    <mergeCell ref="I74:AO74"/>
    <mergeCell ref="AP74:AQ74"/>
    <mergeCell ref="AR74:AV74"/>
    <mergeCell ref="AW74:BD74"/>
    <mergeCell ref="BE72:BL72"/>
    <mergeCell ref="A73:B73"/>
    <mergeCell ref="C73:H73"/>
    <mergeCell ref="I73:AO73"/>
    <mergeCell ref="AP73:AQ73"/>
    <mergeCell ref="AR73:AV73"/>
    <mergeCell ref="AW73:BD73"/>
    <mergeCell ref="BE73:BL73"/>
    <mergeCell ref="A72:B72"/>
    <mergeCell ref="C72:H72"/>
    <mergeCell ref="I72:AO72"/>
    <mergeCell ref="AP72:AQ72"/>
    <mergeCell ref="AR72:AV72"/>
    <mergeCell ref="AW72:BD72"/>
    <mergeCell ref="BE70:BL70"/>
    <mergeCell ref="A71:B71"/>
    <mergeCell ref="C71:H71"/>
    <mergeCell ref="I71:AO71"/>
    <mergeCell ref="AP71:AQ71"/>
    <mergeCell ref="AR71:AV71"/>
    <mergeCell ref="AW71:BD71"/>
    <mergeCell ref="BE71:BL71"/>
    <mergeCell ref="A70:B70"/>
    <mergeCell ref="C70:H70"/>
    <mergeCell ref="I70:AO70"/>
    <mergeCell ref="AP70:AQ70"/>
    <mergeCell ref="AR70:AV70"/>
    <mergeCell ref="AW70:BD70"/>
    <mergeCell ref="BE68:BL68"/>
    <mergeCell ref="A69:B69"/>
    <mergeCell ref="C69:H69"/>
    <mergeCell ref="I69:AO69"/>
    <mergeCell ref="AP69:AQ69"/>
    <mergeCell ref="AR69:AV69"/>
    <mergeCell ref="AW69:BD69"/>
    <mergeCell ref="BE69:BL69"/>
    <mergeCell ref="A68:B68"/>
    <mergeCell ref="C68:H68"/>
    <mergeCell ref="I68:AO68"/>
    <mergeCell ref="AP68:AQ68"/>
    <mergeCell ref="AR68:AV68"/>
    <mergeCell ref="AW68:BD68"/>
    <mergeCell ref="BE66:BL66"/>
    <mergeCell ref="A67:B67"/>
    <mergeCell ref="C67:H67"/>
    <mergeCell ref="I67:AO67"/>
    <mergeCell ref="AP67:AQ67"/>
    <mergeCell ref="AR67:AV67"/>
    <mergeCell ref="AW67:BD67"/>
    <mergeCell ref="BE67:BL67"/>
    <mergeCell ref="A66:B66"/>
    <mergeCell ref="C66:H66"/>
    <mergeCell ref="I66:AO66"/>
    <mergeCell ref="AP66:AQ66"/>
    <mergeCell ref="AR66:AV66"/>
    <mergeCell ref="AW66:BD66"/>
    <mergeCell ref="BE64:BL64"/>
    <mergeCell ref="A65:B65"/>
    <mergeCell ref="C65:H65"/>
    <mergeCell ref="I65:AO65"/>
    <mergeCell ref="AP65:AQ65"/>
    <mergeCell ref="AR65:AV65"/>
    <mergeCell ref="AW65:BD65"/>
    <mergeCell ref="BE65:BL65"/>
    <mergeCell ref="A64:B64"/>
    <mergeCell ref="C64:H64"/>
    <mergeCell ref="I64:AO64"/>
    <mergeCell ref="AP64:AQ64"/>
    <mergeCell ref="AR64:AV64"/>
    <mergeCell ref="AW64:BD64"/>
    <mergeCell ref="BE62:BL62"/>
    <mergeCell ref="A63:B63"/>
    <mergeCell ref="C63:H63"/>
    <mergeCell ref="I63:AO63"/>
    <mergeCell ref="AP63:AQ63"/>
    <mergeCell ref="AR63:AV63"/>
    <mergeCell ref="AW63:BD63"/>
    <mergeCell ref="BE63:BL63"/>
    <mergeCell ref="A62:B62"/>
    <mergeCell ref="C62:H62"/>
    <mergeCell ref="I62:AO62"/>
    <mergeCell ref="AP62:AQ62"/>
    <mergeCell ref="AR62:AV62"/>
    <mergeCell ref="AW62:BD62"/>
    <mergeCell ref="BE60:BL60"/>
    <mergeCell ref="A61:B61"/>
    <mergeCell ref="C61:H61"/>
    <mergeCell ref="I61:AO61"/>
    <mergeCell ref="AP61:AQ61"/>
    <mergeCell ref="AR61:AV61"/>
    <mergeCell ref="AW61:BD61"/>
    <mergeCell ref="BE61:BL61"/>
    <mergeCell ref="A60:B60"/>
    <mergeCell ref="C60:H60"/>
    <mergeCell ref="I60:AO60"/>
    <mergeCell ref="AP60:AQ60"/>
    <mergeCell ref="AR60:AV60"/>
    <mergeCell ref="AW60:BD60"/>
    <mergeCell ref="BE58:BL58"/>
    <mergeCell ref="A59:B59"/>
    <mergeCell ref="C59:H59"/>
    <mergeCell ref="I59:AO59"/>
    <mergeCell ref="AP59:AQ59"/>
    <mergeCell ref="AR59:AV59"/>
    <mergeCell ref="AW59:BD59"/>
    <mergeCell ref="BE59:BL59"/>
    <mergeCell ref="A58:B58"/>
    <mergeCell ref="C58:H58"/>
    <mergeCell ref="I58:AO58"/>
    <mergeCell ref="AP58:AQ58"/>
    <mergeCell ref="AR58:AV58"/>
    <mergeCell ref="AW58:BD58"/>
    <mergeCell ref="BE56:BL56"/>
    <mergeCell ref="A57:B57"/>
    <mergeCell ref="C57:H57"/>
    <mergeCell ref="I57:AO57"/>
    <mergeCell ref="AP57:AQ57"/>
    <mergeCell ref="AR57:AV57"/>
    <mergeCell ref="AW57:BD57"/>
    <mergeCell ref="BE57:BL57"/>
    <mergeCell ref="A56:B56"/>
    <mergeCell ref="C56:H56"/>
    <mergeCell ref="I56:AO56"/>
    <mergeCell ref="AP56:AQ56"/>
    <mergeCell ref="AR56:AV56"/>
    <mergeCell ref="AW56:BD56"/>
    <mergeCell ref="BE54:BL54"/>
    <mergeCell ref="A55:B55"/>
    <mergeCell ref="C55:H55"/>
    <mergeCell ref="I55:AO55"/>
    <mergeCell ref="AP55:AQ55"/>
    <mergeCell ref="AR55:AV55"/>
    <mergeCell ref="AW55:BD55"/>
    <mergeCell ref="BE55:BL55"/>
    <mergeCell ref="A54:B54"/>
    <mergeCell ref="C54:H54"/>
    <mergeCell ref="I54:AO54"/>
    <mergeCell ref="AP54:AQ54"/>
    <mergeCell ref="AR54:AV54"/>
    <mergeCell ref="AW54:BD54"/>
    <mergeCell ref="BE52:BL52"/>
    <mergeCell ref="A53:B53"/>
    <mergeCell ref="C53:H53"/>
    <mergeCell ref="I53:AO53"/>
    <mergeCell ref="AP53:AQ53"/>
    <mergeCell ref="AR53:AV53"/>
    <mergeCell ref="AW53:BD53"/>
    <mergeCell ref="BE53:BL53"/>
    <mergeCell ref="A52:B52"/>
    <mergeCell ref="C52:H52"/>
    <mergeCell ref="I52:AO52"/>
    <mergeCell ref="AP52:AQ52"/>
    <mergeCell ref="AR52:AV52"/>
    <mergeCell ref="AW52:BD52"/>
    <mergeCell ref="BE50:BL50"/>
    <mergeCell ref="A51:B51"/>
    <mergeCell ref="C51:H51"/>
    <mergeCell ref="I51:AO51"/>
    <mergeCell ref="AP51:AQ51"/>
    <mergeCell ref="AR51:AV51"/>
    <mergeCell ref="AW51:BD51"/>
    <mergeCell ref="BE51:BL51"/>
    <mergeCell ref="A50:B50"/>
    <mergeCell ref="C50:H50"/>
    <mergeCell ref="I50:AO50"/>
    <mergeCell ref="AP50:AQ50"/>
    <mergeCell ref="AR50:AV50"/>
    <mergeCell ref="AW50:BD50"/>
    <mergeCell ref="BE48:BL48"/>
    <mergeCell ref="A49:B49"/>
    <mergeCell ref="C49:H49"/>
    <mergeCell ref="I49:AO49"/>
    <mergeCell ref="AP49:AQ49"/>
    <mergeCell ref="AR49:AV49"/>
    <mergeCell ref="AW49:BD49"/>
    <mergeCell ref="BE49:BL49"/>
    <mergeCell ref="A48:B48"/>
    <mergeCell ref="C48:H48"/>
    <mergeCell ref="I48:AO48"/>
    <mergeCell ref="AP48:AQ48"/>
    <mergeCell ref="AR48:AV48"/>
    <mergeCell ref="AW48:BD48"/>
    <mergeCell ref="BE46:BL46"/>
    <mergeCell ref="A47:B47"/>
    <mergeCell ref="C47:H47"/>
    <mergeCell ref="I47:AO47"/>
    <mergeCell ref="AP47:AQ47"/>
    <mergeCell ref="AR47:AV47"/>
    <mergeCell ref="AW47:BD47"/>
    <mergeCell ref="BE47:BL47"/>
    <mergeCell ref="A46:B46"/>
    <mergeCell ref="C46:H46"/>
    <mergeCell ref="I46:AO46"/>
    <mergeCell ref="AP46:AQ46"/>
    <mergeCell ref="AR46:AV46"/>
    <mergeCell ref="AW46:BD46"/>
    <mergeCell ref="BE44:BL44"/>
    <mergeCell ref="A45:B45"/>
    <mergeCell ref="C45:H45"/>
    <mergeCell ref="I45:AO45"/>
    <mergeCell ref="AP45:AQ45"/>
    <mergeCell ref="AR45:AV45"/>
    <mergeCell ref="AW45:BD45"/>
    <mergeCell ref="BE45:BL45"/>
    <mergeCell ref="A44:B44"/>
    <mergeCell ref="C44:H44"/>
    <mergeCell ref="I44:AO44"/>
    <mergeCell ref="AP44:AQ44"/>
    <mergeCell ref="AR44:AV44"/>
    <mergeCell ref="AW44:BD44"/>
    <mergeCell ref="BE42:BL42"/>
    <mergeCell ref="A43:B43"/>
    <mergeCell ref="C43:H43"/>
    <mergeCell ref="I43:AO43"/>
    <mergeCell ref="AP43:AQ43"/>
    <mergeCell ref="AR43:AV43"/>
    <mergeCell ref="AW43:BD43"/>
    <mergeCell ref="BE43:BL43"/>
    <mergeCell ref="A42:B42"/>
    <mergeCell ref="C42:H42"/>
    <mergeCell ref="I42:AO42"/>
    <mergeCell ref="AP42:AQ42"/>
    <mergeCell ref="AR42:AV42"/>
    <mergeCell ref="AW42:BD42"/>
    <mergeCell ref="BE40:BL40"/>
    <mergeCell ref="A41:B41"/>
    <mergeCell ref="C41:H41"/>
    <mergeCell ref="I41:AO41"/>
    <mergeCell ref="AP41:AQ41"/>
    <mergeCell ref="AR41:AV41"/>
    <mergeCell ref="AW41:BD41"/>
    <mergeCell ref="BE41:BL41"/>
    <mergeCell ref="A40:B40"/>
    <mergeCell ref="C40:H40"/>
    <mergeCell ref="I40:AO40"/>
    <mergeCell ref="AP40:AQ40"/>
    <mergeCell ref="AR40:AV40"/>
    <mergeCell ref="AW40:BD40"/>
    <mergeCell ref="BE38:BL38"/>
    <mergeCell ref="A39:B39"/>
    <mergeCell ref="C39:H39"/>
    <mergeCell ref="I39:AO39"/>
    <mergeCell ref="AP39:AQ39"/>
    <mergeCell ref="AR39:AV39"/>
    <mergeCell ref="AW39:BD39"/>
    <mergeCell ref="BE39:BL39"/>
    <mergeCell ref="A38:B38"/>
    <mergeCell ref="C38:H38"/>
    <mergeCell ref="I38:AO38"/>
    <mergeCell ref="AP38:AQ38"/>
    <mergeCell ref="AR38:AV38"/>
    <mergeCell ref="AW38:BD38"/>
    <mergeCell ref="BE36:BL36"/>
    <mergeCell ref="A37:B37"/>
    <mergeCell ref="C37:H37"/>
    <mergeCell ref="I37:AO37"/>
    <mergeCell ref="AP37:AQ37"/>
    <mergeCell ref="AR37:AV37"/>
    <mergeCell ref="AW37:BD37"/>
    <mergeCell ref="BE37:BL37"/>
    <mergeCell ref="A36:B36"/>
    <mergeCell ref="C36:H36"/>
    <mergeCell ref="I36:AO36"/>
    <mergeCell ref="AP36:AQ36"/>
    <mergeCell ref="AR36:AV36"/>
    <mergeCell ref="AW36:BD36"/>
    <mergeCell ref="BE34:BL34"/>
    <mergeCell ref="A35:B35"/>
    <mergeCell ref="C35:H35"/>
    <mergeCell ref="I35:AO35"/>
    <mergeCell ref="AP35:AQ35"/>
    <mergeCell ref="AR35:AV35"/>
    <mergeCell ref="AW35:BD35"/>
    <mergeCell ref="BE35:BL35"/>
    <mergeCell ref="A34:B34"/>
    <mergeCell ref="C34:H34"/>
    <mergeCell ref="I34:AO34"/>
    <mergeCell ref="AP34:AQ34"/>
    <mergeCell ref="AR34:AV34"/>
    <mergeCell ref="AW34:BD34"/>
    <mergeCell ref="BE32:BL32"/>
    <mergeCell ref="A33:B33"/>
    <mergeCell ref="C33:H33"/>
    <mergeCell ref="I33:AO33"/>
    <mergeCell ref="AP33:AQ33"/>
    <mergeCell ref="AR33:AV33"/>
    <mergeCell ref="AW33:BD33"/>
    <mergeCell ref="BE33:BL33"/>
    <mergeCell ref="A32:B32"/>
    <mergeCell ref="C32:H32"/>
    <mergeCell ref="I32:AO32"/>
    <mergeCell ref="AP32:AQ32"/>
    <mergeCell ref="AR32:AV32"/>
    <mergeCell ref="AW32:BD32"/>
    <mergeCell ref="BE30:BL30"/>
    <mergeCell ref="A31:B31"/>
    <mergeCell ref="C31:H31"/>
    <mergeCell ref="I31:AO31"/>
    <mergeCell ref="AP31:AQ31"/>
    <mergeCell ref="AR31:AV31"/>
    <mergeCell ref="AW31:BD31"/>
    <mergeCell ref="BE31:BL31"/>
    <mergeCell ref="A30:B30"/>
    <mergeCell ref="C30:H30"/>
    <mergeCell ref="I30:AO30"/>
    <mergeCell ref="AP30:AQ30"/>
    <mergeCell ref="AR30:AV30"/>
    <mergeCell ref="AW30:BD30"/>
    <mergeCell ref="BE28:BL28"/>
    <mergeCell ref="A29:B29"/>
    <mergeCell ref="C29:H29"/>
    <mergeCell ref="I29:AO29"/>
    <mergeCell ref="AP29:AQ29"/>
    <mergeCell ref="AR29:AV29"/>
    <mergeCell ref="AW29:BD29"/>
    <mergeCell ref="BE29:BL29"/>
    <mergeCell ref="A28:B28"/>
    <mergeCell ref="C28:H28"/>
    <mergeCell ref="I28:AO28"/>
    <mergeCell ref="AP28:AQ28"/>
    <mergeCell ref="AR28:AV28"/>
    <mergeCell ref="AW28:BD28"/>
    <mergeCell ref="BE26:BL26"/>
    <mergeCell ref="A27:B27"/>
    <mergeCell ref="C27:H27"/>
    <mergeCell ref="I27:AO27"/>
    <mergeCell ref="AP27:AQ27"/>
    <mergeCell ref="AR27:AV27"/>
    <mergeCell ref="AW27:BD27"/>
    <mergeCell ref="BE27:BL27"/>
    <mergeCell ref="A26:B26"/>
    <mergeCell ref="C26:H26"/>
    <mergeCell ref="I26:AO26"/>
    <mergeCell ref="AP26:AQ26"/>
    <mergeCell ref="AR26:AV26"/>
    <mergeCell ref="AW26:BD26"/>
    <mergeCell ref="BE24:BL24"/>
    <mergeCell ref="A25:B25"/>
    <mergeCell ref="C25:H25"/>
    <mergeCell ref="I25:AO25"/>
    <mergeCell ref="AP25:AQ25"/>
    <mergeCell ref="AR25:AV25"/>
    <mergeCell ref="AW25:BD25"/>
    <mergeCell ref="BE25:BL25"/>
    <mergeCell ref="A24:B24"/>
    <mergeCell ref="C24:H24"/>
    <mergeCell ref="I24:AO24"/>
    <mergeCell ref="AP24:AQ24"/>
    <mergeCell ref="AR24:AV24"/>
    <mergeCell ref="AW24:BD24"/>
    <mergeCell ref="BE22:BL22"/>
    <mergeCell ref="A23:B23"/>
    <mergeCell ref="C23:H23"/>
    <mergeCell ref="I23:AO23"/>
    <mergeCell ref="AP23:AQ23"/>
    <mergeCell ref="AR23:AV23"/>
    <mergeCell ref="AW23:BD23"/>
    <mergeCell ref="BE23:BL23"/>
    <mergeCell ref="A22:B22"/>
    <mergeCell ref="C22:H22"/>
    <mergeCell ref="I22:AO22"/>
    <mergeCell ref="AP22:AQ22"/>
    <mergeCell ref="AR22:AV22"/>
    <mergeCell ref="AW22:BD22"/>
    <mergeCell ref="BE20:BL20"/>
    <mergeCell ref="A21:B21"/>
    <mergeCell ref="C21:H21"/>
    <mergeCell ref="I21:AO21"/>
    <mergeCell ref="AP21:AQ21"/>
    <mergeCell ref="AR21:AV21"/>
    <mergeCell ref="AW21:BD21"/>
    <mergeCell ref="BE21:BL21"/>
    <mergeCell ref="A20:B20"/>
    <mergeCell ref="C20:H20"/>
    <mergeCell ref="I20:AO20"/>
    <mergeCell ref="AP20:AQ20"/>
    <mergeCell ref="AR20:AV20"/>
    <mergeCell ref="AW20:BD20"/>
    <mergeCell ref="BE18:BL18"/>
    <mergeCell ref="A19:B19"/>
    <mergeCell ref="C19:H19"/>
    <mergeCell ref="I19:AO19"/>
    <mergeCell ref="AP19:AQ19"/>
    <mergeCell ref="AR19:AV19"/>
    <mergeCell ref="AW19:BD19"/>
    <mergeCell ref="BE19:BL19"/>
    <mergeCell ref="A18:B18"/>
    <mergeCell ref="C18:H18"/>
    <mergeCell ref="I18:AO18"/>
    <mergeCell ref="AP18:AQ18"/>
    <mergeCell ref="AR18:AV18"/>
    <mergeCell ref="AW18:BD18"/>
    <mergeCell ref="BE16:BL16"/>
    <mergeCell ref="A17:B17"/>
    <mergeCell ref="C17:H17"/>
    <mergeCell ref="I17:AO17"/>
    <mergeCell ref="AP17:AQ17"/>
    <mergeCell ref="AR17:AV17"/>
    <mergeCell ref="AW17:BD17"/>
    <mergeCell ref="BE17:BL17"/>
    <mergeCell ref="A16:B16"/>
    <mergeCell ref="C16:H16"/>
    <mergeCell ref="I16:AO16"/>
    <mergeCell ref="AP16:AQ16"/>
    <mergeCell ref="AR16:AV16"/>
    <mergeCell ref="AW16:BD16"/>
    <mergeCell ref="BE14:BL14"/>
    <mergeCell ref="A15:B15"/>
    <mergeCell ref="C15:H15"/>
    <mergeCell ref="I15:AO15"/>
    <mergeCell ref="AP15:AQ15"/>
    <mergeCell ref="AR15:AV15"/>
    <mergeCell ref="AW15:BD15"/>
    <mergeCell ref="BE15:BL15"/>
    <mergeCell ref="A14:B14"/>
    <mergeCell ref="C14:H14"/>
    <mergeCell ref="I14:AO14"/>
    <mergeCell ref="AP14:AQ14"/>
    <mergeCell ref="AR14:AV14"/>
    <mergeCell ref="AW14:BD14"/>
    <mergeCell ref="BE12:BL12"/>
    <mergeCell ref="A13:B13"/>
    <mergeCell ref="C13:H13"/>
    <mergeCell ref="I13:AO13"/>
    <mergeCell ref="AP13:AQ13"/>
    <mergeCell ref="AR13:AV13"/>
    <mergeCell ref="AW13:BD13"/>
    <mergeCell ref="BE13:BL13"/>
    <mergeCell ref="A12:B12"/>
    <mergeCell ref="C12:H12"/>
    <mergeCell ref="I12:AO12"/>
    <mergeCell ref="AP12:AQ12"/>
    <mergeCell ref="AR12:AV12"/>
    <mergeCell ref="AW12:BD12"/>
    <mergeCell ref="BE10:BL10"/>
    <mergeCell ref="A11:B11"/>
    <mergeCell ref="C11:H11"/>
    <mergeCell ref="I11:AO11"/>
    <mergeCell ref="AP11:AQ11"/>
    <mergeCell ref="AR11:AV11"/>
    <mergeCell ref="AW11:BD11"/>
    <mergeCell ref="BE11:BL11"/>
    <mergeCell ref="A10:B10"/>
    <mergeCell ref="C10:H10"/>
    <mergeCell ref="I10:AO10"/>
    <mergeCell ref="AP10:AQ10"/>
    <mergeCell ref="AR10:AV10"/>
    <mergeCell ref="AW10:BD10"/>
    <mergeCell ref="A8:E9"/>
    <mergeCell ref="F8:AI9"/>
    <mergeCell ref="AJ8:AP9"/>
    <mergeCell ref="AQ8:AV9"/>
    <mergeCell ref="AW8:BC9"/>
    <mergeCell ref="BD8:BL9"/>
    <mergeCell ref="A6:E7"/>
    <mergeCell ref="F6:AI7"/>
    <mergeCell ref="AJ6:AP7"/>
    <mergeCell ref="AQ6:AV7"/>
    <mergeCell ref="AW6:BC7"/>
    <mergeCell ref="BD6:BL7"/>
    <mergeCell ref="A4:E5"/>
    <mergeCell ref="F4:AI5"/>
    <mergeCell ref="AJ4:AP5"/>
    <mergeCell ref="AQ4:AV5"/>
    <mergeCell ref="AW4:BC5"/>
    <mergeCell ref="BD4:BL5"/>
    <mergeCell ref="A1:BL1"/>
    <mergeCell ref="A2:E3"/>
    <mergeCell ref="F2:AI3"/>
    <mergeCell ref="AJ2:AP3"/>
    <mergeCell ref="AQ2:AV3"/>
    <mergeCell ref="AW2:BC3"/>
    <mergeCell ref="BD2:BL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I6" sqref="I6:I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6"/>
      <c r="B1" s="9"/>
      <c r="C1" s="103" t="s">
        <v>272</v>
      </c>
      <c r="D1" s="58"/>
      <c r="E1" s="58"/>
      <c r="F1" s="58"/>
      <c r="G1" s="58"/>
      <c r="H1" s="58"/>
      <c r="I1" s="58"/>
    </row>
    <row r="2" spans="1:10" ht="12.75">
      <c r="A2" s="59" t="s">
        <v>1</v>
      </c>
      <c r="B2" s="60"/>
      <c r="C2" s="63" t="str">
        <f>'Stavební rozpočet'!D2</f>
        <v>Rekonstrukce sociálního zařízení 1.stupeň - 2NP</v>
      </c>
      <c r="D2" s="64"/>
      <c r="E2" s="67" t="s">
        <v>249</v>
      </c>
      <c r="F2" s="67" t="str">
        <f>'Stavební rozpočet'!I2</f>
        <v> </v>
      </c>
      <c r="G2" s="60"/>
      <c r="H2" s="67" t="s">
        <v>298</v>
      </c>
      <c r="I2" s="104"/>
      <c r="J2" s="5"/>
    </row>
    <row r="3" spans="1:10" ht="12.75">
      <c r="A3" s="61"/>
      <c r="B3" s="62"/>
      <c r="C3" s="65"/>
      <c r="D3" s="65"/>
      <c r="E3" s="62"/>
      <c r="F3" s="62"/>
      <c r="G3" s="62"/>
      <c r="H3" s="62"/>
      <c r="I3" s="69"/>
      <c r="J3" s="5"/>
    </row>
    <row r="4" spans="1:10" ht="12.75">
      <c r="A4" s="70" t="s">
        <v>2</v>
      </c>
      <c r="B4" s="62"/>
      <c r="C4" s="71" t="str">
        <f>'Stavební rozpočet'!D4</f>
        <v>ZŠ Nádražní</v>
      </c>
      <c r="D4" s="62"/>
      <c r="E4" s="71" t="s">
        <v>250</v>
      </c>
      <c r="F4" s="71" t="str">
        <f>'Stavební rozpočet'!I4</f>
        <v> </v>
      </c>
      <c r="G4" s="62"/>
      <c r="H4" s="71" t="s">
        <v>298</v>
      </c>
      <c r="I4" s="105"/>
      <c r="J4" s="5"/>
    </row>
    <row r="5" spans="1:10" ht="12.75">
      <c r="A5" s="61"/>
      <c r="B5" s="62"/>
      <c r="C5" s="62"/>
      <c r="D5" s="62"/>
      <c r="E5" s="62"/>
      <c r="F5" s="62"/>
      <c r="G5" s="62"/>
      <c r="H5" s="62"/>
      <c r="I5" s="69"/>
      <c r="J5" s="5"/>
    </row>
    <row r="6" spans="1:10" ht="12.75">
      <c r="A6" s="70" t="s">
        <v>3</v>
      </c>
      <c r="B6" s="62"/>
      <c r="C6" s="71" t="str">
        <f>'Stavební rozpočet'!D6</f>
        <v>Česká Třebová</v>
      </c>
      <c r="D6" s="62"/>
      <c r="E6" s="71" t="s">
        <v>251</v>
      </c>
      <c r="F6" s="71"/>
      <c r="G6" s="62"/>
      <c r="H6" s="71" t="s">
        <v>298</v>
      </c>
      <c r="I6" s="105"/>
      <c r="J6" s="5"/>
    </row>
    <row r="7" spans="1:10" ht="12.75">
      <c r="A7" s="61"/>
      <c r="B7" s="62"/>
      <c r="C7" s="62"/>
      <c r="D7" s="62"/>
      <c r="E7" s="62"/>
      <c r="F7" s="62"/>
      <c r="G7" s="62"/>
      <c r="H7" s="62"/>
      <c r="I7" s="69"/>
      <c r="J7" s="5"/>
    </row>
    <row r="8" spans="1:10" ht="12.75">
      <c r="A8" s="70" t="s">
        <v>238</v>
      </c>
      <c r="B8" s="62"/>
      <c r="C8" s="71" t="str">
        <f>'Stavební rozpočet'!G4</f>
        <v> </v>
      </c>
      <c r="D8" s="62"/>
      <c r="E8" s="71" t="s">
        <v>239</v>
      </c>
      <c r="F8" s="71" t="str">
        <f>'Stavební rozpočet'!G6</f>
        <v> </v>
      </c>
      <c r="G8" s="62"/>
      <c r="H8" s="72" t="s">
        <v>299</v>
      </c>
      <c r="I8" s="105" t="s">
        <v>67</v>
      </c>
      <c r="J8" s="5"/>
    </row>
    <row r="9" spans="1:10" ht="12.75">
      <c r="A9" s="61"/>
      <c r="B9" s="62"/>
      <c r="C9" s="62"/>
      <c r="D9" s="62"/>
      <c r="E9" s="62"/>
      <c r="F9" s="62"/>
      <c r="G9" s="62"/>
      <c r="H9" s="62"/>
      <c r="I9" s="69"/>
      <c r="J9" s="5"/>
    </row>
    <row r="10" spans="1:10" ht="12.75">
      <c r="A10" s="70" t="s">
        <v>4</v>
      </c>
      <c r="B10" s="62"/>
      <c r="C10" s="71" t="str">
        <f>'Stavební rozpočet'!D8</f>
        <v> </v>
      </c>
      <c r="D10" s="62"/>
      <c r="E10" s="71" t="s">
        <v>252</v>
      </c>
      <c r="F10" s="71"/>
      <c r="G10" s="62"/>
      <c r="H10" s="72" t="s">
        <v>300</v>
      </c>
      <c r="I10" s="106" t="str">
        <f>'Stavební rozpočet'!G8</f>
        <v>16.05.2019</v>
      </c>
      <c r="J10" s="5"/>
    </row>
    <row r="11" spans="1:10" ht="12.75">
      <c r="A11" s="73"/>
      <c r="B11" s="74"/>
      <c r="C11" s="74"/>
      <c r="D11" s="74"/>
      <c r="E11" s="74"/>
      <c r="F11" s="74"/>
      <c r="G11" s="74"/>
      <c r="H11" s="74"/>
      <c r="I11" s="75"/>
      <c r="J11" s="5"/>
    </row>
    <row r="12" spans="1:9" ht="23.25" customHeight="1">
      <c r="A12" s="107" t="s">
        <v>256</v>
      </c>
      <c r="B12" s="108"/>
      <c r="C12" s="108"/>
      <c r="D12" s="108"/>
      <c r="E12" s="108"/>
      <c r="F12" s="108"/>
      <c r="G12" s="108"/>
      <c r="H12" s="108"/>
      <c r="I12" s="108"/>
    </row>
    <row r="13" spans="1:10" ht="26.25" customHeight="1">
      <c r="A13" s="10" t="s">
        <v>257</v>
      </c>
      <c r="B13" s="109" t="s">
        <v>269</v>
      </c>
      <c r="C13" s="110"/>
      <c r="D13" s="10" t="s">
        <v>273</v>
      </c>
      <c r="E13" s="109" t="s">
        <v>283</v>
      </c>
      <c r="F13" s="110"/>
      <c r="G13" s="10" t="s">
        <v>284</v>
      </c>
      <c r="H13" s="109" t="s">
        <v>301</v>
      </c>
      <c r="I13" s="110"/>
      <c r="J13" s="5"/>
    </row>
    <row r="14" spans="1:10" ht="15" customHeight="1">
      <c r="A14" s="11" t="s">
        <v>258</v>
      </c>
      <c r="B14" s="16" t="s">
        <v>270</v>
      </c>
      <c r="C14" s="20">
        <f>SUM('Stavební rozpočet'!AB12:AB99)</f>
        <v>0</v>
      </c>
      <c r="D14" s="111" t="s">
        <v>274</v>
      </c>
      <c r="E14" s="112"/>
      <c r="F14" s="20">
        <v>0</v>
      </c>
      <c r="G14" s="111" t="s">
        <v>285</v>
      </c>
      <c r="H14" s="112"/>
      <c r="I14" s="20">
        <v>0</v>
      </c>
      <c r="J14" s="5"/>
    </row>
    <row r="15" spans="1:10" ht="15" customHeight="1">
      <c r="A15" s="12"/>
      <c r="B15" s="16" t="s">
        <v>271</v>
      </c>
      <c r="C15" s="20">
        <f>SUM('Stavební rozpočet'!AC12:AC99)</f>
        <v>0</v>
      </c>
      <c r="D15" s="111" t="s">
        <v>275</v>
      </c>
      <c r="E15" s="112"/>
      <c r="F15" s="20">
        <v>0</v>
      </c>
      <c r="G15" s="111" t="s">
        <v>286</v>
      </c>
      <c r="H15" s="112"/>
      <c r="I15" s="20">
        <v>3500</v>
      </c>
      <c r="J15" s="5"/>
    </row>
    <row r="16" spans="1:10" ht="15" customHeight="1">
      <c r="A16" s="11" t="s">
        <v>259</v>
      </c>
      <c r="B16" s="16" t="s">
        <v>270</v>
      </c>
      <c r="C16" s="20">
        <f>SUM('Stavební rozpočet'!AD12:AD99)</f>
        <v>0</v>
      </c>
      <c r="D16" s="111" t="s">
        <v>276</v>
      </c>
      <c r="E16" s="112"/>
      <c r="F16" s="20">
        <v>0</v>
      </c>
      <c r="G16" s="111" t="s">
        <v>287</v>
      </c>
      <c r="H16" s="112"/>
      <c r="I16" s="20">
        <v>0</v>
      </c>
      <c r="J16" s="5"/>
    </row>
    <row r="17" spans="1:10" ht="15" customHeight="1">
      <c r="A17" s="12"/>
      <c r="B17" s="16" t="s">
        <v>271</v>
      </c>
      <c r="C17" s="20">
        <f>SUM('Stavební rozpočet'!AE12:AE99)</f>
        <v>0</v>
      </c>
      <c r="D17" s="111" t="s">
        <v>277</v>
      </c>
      <c r="E17" s="112"/>
      <c r="F17" s="20">
        <f>ROUND(C22*(6/100),2)</f>
        <v>0</v>
      </c>
      <c r="G17" s="111" t="s">
        <v>288</v>
      </c>
      <c r="H17" s="112"/>
      <c r="I17" s="20">
        <v>0</v>
      </c>
      <c r="J17" s="5"/>
    </row>
    <row r="18" spans="1:10" ht="15" customHeight="1">
      <c r="A18" s="11" t="s">
        <v>260</v>
      </c>
      <c r="B18" s="16" t="s">
        <v>270</v>
      </c>
      <c r="C18" s="20">
        <f>SUM('Stavební rozpočet'!AF12:AF99)</f>
        <v>0</v>
      </c>
      <c r="D18" s="111"/>
      <c r="E18" s="112"/>
      <c r="F18" s="21"/>
      <c r="G18" s="111" t="s">
        <v>289</v>
      </c>
      <c r="H18" s="112"/>
      <c r="I18" s="20">
        <v>0</v>
      </c>
      <c r="J18" s="5"/>
    </row>
    <row r="19" spans="1:10" ht="15" customHeight="1">
      <c r="A19" s="12"/>
      <c r="B19" s="16" t="s">
        <v>271</v>
      </c>
      <c r="C19" s="20">
        <f>SUM('Stavební rozpočet'!AG12:AG99)</f>
        <v>0</v>
      </c>
      <c r="D19" s="111"/>
      <c r="E19" s="112"/>
      <c r="F19" s="21"/>
      <c r="G19" s="111" t="s">
        <v>290</v>
      </c>
      <c r="H19" s="112"/>
      <c r="I19" s="20">
        <v>0</v>
      </c>
      <c r="J19" s="5"/>
    </row>
    <row r="20" spans="1:10" ht="15" customHeight="1">
      <c r="A20" s="113" t="s">
        <v>231</v>
      </c>
      <c r="B20" s="114"/>
      <c r="C20" s="20">
        <f>SUM('Stavební rozpočet'!AH12:AH99)</f>
        <v>0</v>
      </c>
      <c r="D20" s="111"/>
      <c r="E20" s="112"/>
      <c r="F20" s="21"/>
      <c r="G20" s="111"/>
      <c r="H20" s="112"/>
      <c r="I20" s="21"/>
      <c r="J20" s="5"/>
    </row>
    <row r="21" spans="1:10" ht="15" customHeight="1">
      <c r="A21" s="113" t="s">
        <v>261</v>
      </c>
      <c r="B21" s="114"/>
      <c r="C21" s="20">
        <f>SUM('Stavební rozpočet'!Z12:Z99)</f>
        <v>0</v>
      </c>
      <c r="D21" s="111"/>
      <c r="E21" s="112"/>
      <c r="F21" s="21"/>
      <c r="G21" s="111"/>
      <c r="H21" s="112"/>
      <c r="I21" s="21"/>
      <c r="J21" s="5"/>
    </row>
    <row r="22" spans="1:10" ht="16.5" customHeight="1">
      <c r="A22" s="113" t="s">
        <v>262</v>
      </c>
      <c r="B22" s="114"/>
      <c r="C22" s="20">
        <f>SUM(C14:C21)</f>
        <v>0</v>
      </c>
      <c r="D22" s="113" t="s">
        <v>278</v>
      </c>
      <c r="E22" s="114"/>
      <c r="F22" s="20">
        <f>SUM(F14:F21)</f>
        <v>0</v>
      </c>
      <c r="G22" s="113" t="s">
        <v>291</v>
      </c>
      <c r="H22" s="114"/>
      <c r="I22" s="20">
        <f>SUM(I14:I21)</f>
        <v>3500</v>
      </c>
      <c r="J22" s="5"/>
    </row>
    <row r="23" spans="1:10" ht="15" customHeight="1">
      <c r="A23" s="13"/>
      <c r="B23" s="13"/>
      <c r="C23" s="18"/>
      <c r="D23" s="113" t="s">
        <v>279</v>
      </c>
      <c r="E23" s="114"/>
      <c r="F23" s="22">
        <v>0</v>
      </c>
      <c r="G23" s="113" t="s">
        <v>292</v>
      </c>
      <c r="H23" s="114"/>
      <c r="I23" s="20">
        <v>0</v>
      </c>
      <c r="J23" s="5"/>
    </row>
    <row r="24" spans="4:10" ht="15" customHeight="1">
      <c r="D24" s="13"/>
      <c r="E24" s="13"/>
      <c r="F24" s="23"/>
      <c r="G24" s="113" t="s">
        <v>293</v>
      </c>
      <c r="H24" s="114"/>
      <c r="I24" s="20">
        <v>0</v>
      </c>
      <c r="J24" s="5"/>
    </row>
    <row r="25" spans="6:10" ht="15" customHeight="1">
      <c r="F25" s="24"/>
      <c r="G25" s="113" t="s">
        <v>294</v>
      </c>
      <c r="H25" s="114"/>
      <c r="I25" s="20">
        <v>0</v>
      </c>
      <c r="J25" s="5"/>
    </row>
    <row r="26" spans="1:9" ht="12.75">
      <c r="A26" s="9"/>
      <c r="B26" s="9"/>
      <c r="C26" s="9"/>
      <c r="G26" s="13"/>
      <c r="H26" s="13"/>
      <c r="I26" s="13"/>
    </row>
    <row r="27" spans="1:9" ht="15" customHeight="1">
      <c r="A27" s="115" t="s">
        <v>263</v>
      </c>
      <c r="B27" s="116"/>
      <c r="C27" s="26">
        <f>SUM('Stavební rozpočet'!AJ12:AJ99)</f>
        <v>0</v>
      </c>
      <c r="D27" s="19"/>
      <c r="E27" s="9"/>
      <c r="F27" s="9"/>
      <c r="G27" s="9"/>
      <c r="H27" s="9"/>
      <c r="I27" s="9"/>
    </row>
    <row r="28" spans="1:10" ht="15" customHeight="1">
      <c r="A28" s="115" t="s">
        <v>264</v>
      </c>
      <c r="B28" s="116"/>
      <c r="C28" s="26">
        <f>SUM('Stavební rozpočet'!AK12:AK99)</f>
        <v>0</v>
      </c>
      <c r="D28" s="115" t="s">
        <v>280</v>
      </c>
      <c r="E28" s="116"/>
      <c r="F28" s="26">
        <f>ROUND(C28*(15/100),2)</f>
        <v>0</v>
      </c>
      <c r="G28" s="115" t="s">
        <v>295</v>
      </c>
      <c r="H28" s="116"/>
      <c r="I28" s="26">
        <f>SUM(C27:C29)</f>
        <v>3500</v>
      </c>
      <c r="J28" s="5"/>
    </row>
    <row r="29" spans="1:10" ht="15" customHeight="1">
      <c r="A29" s="115" t="s">
        <v>265</v>
      </c>
      <c r="B29" s="116"/>
      <c r="C29" s="26">
        <f>SUM('Stavební rozpočet'!AL12:AL99)+(F22+I22+F23+I23+I24+I25)</f>
        <v>3500</v>
      </c>
      <c r="D29" s="115" t="s">
        <v>281</v>
      </c>
      <c r="E29" s="116"/>
      <c r="F29" s="26">
        <f>ROUND(C29*(21/100),2)</f>
        <v>735</v>
      </c>
      <c r="G29" s="115" t="s">
        <v>296</v>
      </c>
      <c r="H29" s="116"/>
      <c r="I29" s="26">
        <f>SUM(F28:F29)+I28</f>
        <v>4235</v>
      </c>
      <c r="J29" s="5"/>
    </row>
    <row r="30" spans="1:9" ht="12.75">
      <c r="A30" s="14"/>
      <c r="B30" s="14"/>
      <c r="C30" s="14"/>
      <c r="D30" s="14"/>
      <c r="E30" s="14"/>
      <c r="F30" s="14"/>
      <c r="G30" s="14"/>
      <c r="H30" s="14"/>
      <c r="I30" s="14"/>
    </row>
    <row r="31" spans="1:10" ht="14.25" customHeight="1">
      <c r="A31" s="117" t="s">
        <v>266</v>
      </c>
      <c r="B31" s="118"/>
      <c r="C31" s="119"/>
      <c r="D31" s="117" t="s">
        <v>282</v>
      </c>
      <c r="E31" s="118"/>
      <c r="F31" s="119"/>
      <c r="G31" s="117" t="s">
        <v>297</v>
      </c>
      <c r="H31" s="118"/>
      <c r="I31" s="119"/>
      <c r="J31" s="25"/>
    </row>
    <row r="32" spans="1:10" ht="14.25" customHeight="1">
      <c r="A32" s="120"/>
      <c r="B32" s="121"/>
      <c r="C32" s="122"/>
      <c r="D32" s="120"/>
      <c r="E32" s="121"/>
      <c r="F32" s="122"/>
      <c r="G32" s="120"/>
      <c r="H32" s="121"/>
      <c r="I32" s="122"/>
      <c r="J32" s="25"/>
    </row>
    <row r="33" spans="1:10" ht="14.25" customHeight="1">
      <c r="A33" s="120"/>
      <c r="B33" s="121"/>
      <c r="C33" s="122"/>
      <c r="D33" s="120"/>
      <c r="E33" s="121"/>
      <c r="F33" s="122"/>
      <c r="G33" s="120"/>
      <c r="H33" s="121"/>
      <c r="I33" s="122"/>
      <c r="J33" s="25"/>
    </row>
    <row r="34" spans="1:10" ht="14.25" customHeight="1">
      <c r="A34" s="120"/>
      <c r="B34" s="121"/>
      <c r="C34" s="122"/>
      <c r="D34" s="120"/>
      <c r="E34" s="121"/>
      <c r="F34" s="122"/>
      <c r="G34" s="120"/>
      <c r="H34" s="121"/>
      <c r="I34" s="122"/>
      <c r="J34" s="25"/>
    </row>
    <row r="35" spans="1:10" ht="14.25" customHeight="1">
      <c r="A35" s="123" t="s">
        <v>267</v>
      </c>
      <c r="B35" s="124"/>
      <c r="C35" s="125"/>
      <c r="D35" s="123" t="s">
        <v>267</v>
      </c>
      <c r="E35" s="124"/>
      <c r="F35" s="125"/>
      <c r="G35" s="123" t="s">
        <v>267</v>
      </c>
      <c r="H35" s="124"/>
      <c r="I35" s="125"/>
      <c r="J35" s="25"/>
    </row>
    <row r="36" spans="1:9" ht="11.25" customHeight="1">
      <c r="A36" s="15" t="s">
        <v>268</v>
      </c>
      <c r="B36" s="17"/>
      <c r="C36" s="17"/>
      <c r="D36" s="17"/>
      <c r="E36" s="17"/>
      <c r="F36" s="17"/>
      <c r="G36" s="17"/>
      <c r="H36" s="17"/>
      <c r="I36" s="17"/>
    </row>
    <row r="37" spans="1:9" ht="12.75">
      <c r="A37" s="71"/>
      <c r="B37" s="62"/>
      <c r="C37" s="62"/>
      <c r="D37" s="62"/>
      <c r="E37" s="62"/>
      <c r="F37" s="62"/>
      <c r="G37" s="62"/>
      <c r="H37" s="62"/>
      <c r="I37" s="62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0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84.42187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2" width="12.140625" style="0" hidden="1" customWidth="1"/>
  </cols>
  <sheetData>
    <row r="1" spans="1:13" ht="72.7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12.75">
      <c r="A2" s="59" t="s">
        <v>1</v>
      </c>
      <c r="B2" s="60"/>
      <c r="C2" s="60"/>
      <c r="D2" s="63" t="s">
        <v>303</v>
      </c>
      <c r="E2" s="66" t="s">
        <v>237</v>
      </c>
      <c r="F2" s="60"/>
      <c r="G2" s="66" t="s">
        <v>6</v>
      </c>
      <c r="H2" s="67" t="s">
        <v>249</v>
      </c>
      <c r="I2" s="66" t="s">
        <v>312</v>
      </c>
      <c r="J2" s="60"/>
      <c r="K2" s="60"/>
      <c r="L2" s="60"/>
      <c r="M2" s="68"/>
      <c r="N2" s="5"/>
    </row>
    <row r="3" spans="1:14" ht="12.75">
      <c r="A3" s="61"/>
      <c r="B3" s="62"/>
      <c r="C3" s="62"/>
      <c r="D3" s="65"/>
      <c r="E3" s="62"/>
      <c r="F3" s="62"/>
      <c r="G3" s="62"/>
      <c r="H3" s="62"/>
      <c r="I3" s="62"/>
      <c r="J3" s="62"/>
      <c r="K3" s="62"/>
      <c r="L3" s="62"/>
      <c r="M3" s="69"/>
      <c r="N3" s="5"/>
    </row>
    <row r="4" spans="1:14" ht="12.75">
      <c r="A4" s="70" t="s">
        <v>2</v>
      </c>
      <c r="B4" s="62"/>
      <c r="C4" s="62"/>
      <c r="D4" s="71" t="s">
        <v>304</v>
      </c>
      <c r="E4" s="72" t="s">
        <v>238</v>
      </c>
      <c r="F4" s="62"/>
      <c r="G4" s="72" t="s">
        <v>6</v>
      </c>
      <c r="H4" s="71" t="s">
        <v>250</v>
      </c>
      <c r="I4" s="72" t="s">
        <v>312</v>
      </c>
      <c r="J4" s="62"/>
      <c r="K4" s="62"/>
      <c r="L4" s="62"/>
      <c r="M4" s="69"/>
      <c r="N4" s="5"/>
    </row>
    <row r="5" spans="1:14" ht="12.7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9"/>
      <c r="N5" s="5"/>
    </row>
    <row r="6" spans="1:14" ht="12.75">
      <c r="A6" s="70" t="s">
        <v>3</v>
      </c>
      <c r="B6" s="62"/>
      <c r="C6" s="62"/>
      <c r="D6" s="71" t="s">
        <v>305</v>
      </c>
      <c r="E6" s="72" t="s">
        <v>239</v>
      </c>
      <c r="F6" s="62"/>
      <c r="G6" s="72" t="s">
        <v>6</v>
      </c>
      <c r="H6" s="71" t="s">
        <v>251</v>
      </c>
      <c r="I6" s="71" t="s">
        <v>313</v>
      </c>
      <c r="J6" s="62"/>
      <c r="K6" s="62"/>
      <c r="L6" s="62"/>
      <c r="M6" s="69"/>
      <c r="N6" s="5"/>
    </row>
    <row r="7" spans="1:14" ht="12.7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9"/>
      <c r="N7" s="5"/>
    </row>
    <row r="8" spans="1:14" ht="12.75">
      <c r="A8" s="70" t="s">
        <v>4</v>
      </c>
      <c r="B8" s="62"/>
      <c r="C8" s="62"/>
      <c r="D8" s="71" t="s">
        <v>6</v>
      </c>
      <c r="E8" s="72" t="s">
        <v>240</v>
      </c>
      <c r="F8" s="62"/>
      <c r="G8" s="72" t="s">
        <v>307</v>
      </c>
      <c r="H8" s="71" t="s">
        <v>252</v>
      </c>
      <c r="I8" s="71" t="s">
        <v>314</v>
      </c>
      <c r="J8" s="62"/>
      <c r="K8" s="62"/>
      <c r="L8" s="62"/>
      <c r="M8" s="69"/>
      <c r="N8" s="5"/>
    </row>
    <row r="9" spans="1:14" ht="12.75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8"/>
      <c r="N9" s="5"/>
    </row>
    <row r="10" spans="1:14" ht="12.75">
      <c r="A10" s="27" t="s">
        <v>5</v>
      </c>
      <c r="B10" s="33" t="s">
        <v>302</v>
      </c>
      <c r="C10" s="33" t="s">
        <v>68</v>
      </c>
      <c r="D10" s="33" t="s">
        <v>154</v>
      </c>
      <c r="E10" s="33" t="s">
        <v>241</v>
      </c>
      <c r="F10" s="38" t="s">
        <v>248</v>
      </c>
      <c r="G10" s="39" t="s">
        <v>308</v>
      </c>
      <c r="H10" s="129" t="s">
        <v>310</v>
      </c>
      <c r="I10" s="130"/>
      <c r="J10" s="131"/>
      <c r="K10" s="129" t="s">
        <v>316</v>
      </c>
      <c r="L10" s="131"/>
      <c r="M10" s="47" t="s">
        <v>318</v>
      </c>
      <c r="N10" s="25"/>
    </row>
    <row r="11" spans="1:62" ht="12.75">
      <c r="A11" s="28" t="s">
        <v>6</v>
      </c>
      <c r="B11" s="34" t="s">
        <v>6</v>
      </c>
      <c r="C11" s="34" t="s">
        <v>6</v>
      </c>
      <c r="D11" s="37" t="s">
        <v>306</v>
      </c>
      <c r="E11" s="34" t="s">
        <v>6</v>
      </c>
      <c r="F11" s="34" t="s">
        <v>6</v>
      </c>
      <c r="G11" s="40" t="s">
        <v>309</v>
      </c>
      <c r="H11" s="41" t="s">
        <v>311</v>
      </c>
      <c r="I11" s="42" t="s">
        <v>271</v>
      </c>
      <c r="J11" s="43" t="s">
        <v>315</v>
      </c>
      <c r="K11" s="41" t="s">
        <v>317</v>
      </c>
      <c r="L11" s="43" t="s">
        <v>315</v>
      </c>
      <c r="M11" s="48" t="s">
        <v>319</v>
      </c>
      <c r="N11" s="25"/>
      <c r="Z11" s="45" t="s">
        <v>322</v>
      </c>
      <c r="AA11" s="45" t="s">
        <v>323</v>
      </c>
      <c r="AB11" s="45" t="s">
        <v>324</v>
      </c>
      <c r="AC11" s="45" t="s">
        <v>325</v>
      </c>
      <c r="AD11" s="45" t="s">
        <v>326</v>
      </c>
      <c r="AE11" s="45" t="s">
        <v>327</v>
      </c>
      <c r="AF11" s="45" t="s">
        <v>328</v>
      </c>
      <c r="AG11" s="45" t="s">
        <v>329</v>
      </c>
      <c r="AH11" s="45" t="s">
        <v>330</v>
      </c>
      <c r="BH11" s="45" t="s">
        <v>369</v>
      </c>
      <c r="BI11" s="45" t="s">
        <v>370</v>
      </c>
      <c r="BJ11" s="45" t="s">
        <v>371</v>
      </c>
    </row>
    <row r="12" spans="1:47" ht="12.75">
      <c r="A12" s="29"/>
      <c r="B12" s="35"/>
      <c r="C12" s="35" t="s">
        <v>40</v>
      </c>
      <c r="D12" s="35" t="s">
        <v>155</v>
      </c>
      <c r="E12" s="29" t="s">
        <v>6</v>
      </c>
      <c r="F12" s="29" t="s">
        <v>6</v>
      </c>
      <c r="G12" s="29" t="s">
        <v>6</v>
      </c>
      <c r="H12" s="54">
        <f>SUM(H13:H13)</f>
        <v>0</v>
      </c>
      <c r="I12" s="54">
        <f>SUM(I13:I13)</f>
        <v>0</v>
      </c>
      <c r="J12" s="54">
        <f>SUM(J13:J13)</f>
        <v>0</v>
      </c>
      <c r="K12" s="44"/>
      <c r="L12" s="54">
        <f>SUM(L13:L13)</f>
        <v>0.233</v>
      </c>
      <c r="M12" s="44"/>
      <c r="AI12" s="45"/>
      <c r="AS12" s="6">
        <f>SUM(AJ13:AJ13)</f>
        <v>0</v>
      </c>
      <c r="AT12" s="6">
        <f>SUM(AK13:AK13)</f>
        <v>0</v>
      </c>
      <c r="AU12" s="6">
        <f>SUM(AL13:AL13)</f>
        <v>0</v>
      </c>
    </row>
    <row r="13" spans="1:62" ht="12.75">
      <c r="A13" s="1" t="s">
        <v>7</v>
      </c>
      <c r="B13" s="1"/>
      <c r="C13" s="1" t="s">
        <v>69</v>
      </c>
      <c r="D13" s="1" t="s">
        <v>156</v>
      </c>
      <c r="E13" s="1" t="s">
        <v>242</v>
      </c>
      <c r="F13" s="3">
        <f>'Rozpočet - vybrané sloupce'!AR12</f>
        <v>2</v>
      </c>
      <c r="G13" s="3">
        <f>'Rozpočet - vybrané sloupce'!AW12</f>
        <v>0</v>
      </c>
      <c r="H13" s="3">
        <f>F13*AO13</f>
        <v>0</v>
      </c>
      <c r="I13" s="3">
        <f>F13*AP13</f>
        <v>0</v>
      </c>
      <c r="J13" s="3">
        <f>F13*G13</f>
        <v>0</v>
      </c>
      <c r="K13" s="3">
        <v>0.1165</v>
      </c>
      <c r="L13" s="3">
        <f>F13*K13</f>
        <v>0.233</v>
      </c>
      <c r="M13" s="49" t="s">
        <v>320</v>
      </c>
      <c r="Z13" s="52">
        <f>IF(AQ13="5",BJ13,0)</f>
        <v>0</v>
      </c>
      <c r="AB13" s="52">
        <f>IF(AQ13="1",BH13,0)</f>
        <v>0</v>
      </c>
      <c r="AC13" s="52">
        <f>IF(AQ13="1",BI13,0)</f>
        <v>0</v>
      </c>
      <c r="AD13" s="52">
        <f>IF(AQ13="7",BH13,0)</f>
        <v>0</v>
      </c>
      <c r="AE13" s="52">
        <f>IF(AQ13="7",BI13,0)</f>
        <v>0</v>
      </c>
      <c r="AF13" s="52">
        <f>IF(AQ13="2",BH13,0)</f>
        <v>0</v>
      </c>
      <c r="AG13" s="52">
        <f>IF(AQ13="2",BI13,0)</f>
        <v>0</v>
      </c>
      <c r="AH13" s="52">
        <f>IF(AQ13="0",BJ13,0)</f>
        <v>0</v>
      </c>
      <c r="AI13" s="45"/>
      <c r="AJ13" s="3">
        <f>IF(AN13=0,J13,0)</f>
        <v>0</v>
      </c>
      <c r="AK13" s="3">
        <f>IF(AN13=15,J13,0)</f>
        <v>0</v>
      </c>
      <c r="AL13" s="3">
        <f>IF(AN13=21,J13,0)</f>
        <v>0</v>
      </c>
      <c r="AN13" s="52">
        <v>21</v>
      </c>
      <c r="AO13" s="52">
        <f>G13*0.449387755102041</f>
        <v>0</v>
      </c>
      <c r="AP13" s="52">
        <f>G13*(1-0.449387755102041)</f>
        <v>0</v>
      </c>
      <c r="AQ13" s="49" t="s">
        <v>7</v>
      </c>
      <c r="AV13" s="52">
        <f>AW13+AX13</f>
        <v>0</v>
      </c>
      <c r="AW13" s="52">
        <f>F13*AO13</f>
        <v>0</v>
      </c>
      <c r="AX13" s="52">
        <f>F13*AP13</f>
        <v>0</v>
      </c>
      <c r="AY13" s="53" t="s">
        <v>332</v>
      </c>
      <c r="AZ13" s="53" t="s">
        <v>359</v>
      </c>
      <c r="BA13" s="45" t="s">
        <v>368</v>
      </c>
      <c r="BC13" s="52">
        <f>AW13+AX13</f>
        <v>0</v>
      </c>
      <c r="BD13" s="52">
        <f>G13/(100-BE13)*100</f>
        <v>0</v>
      </c>
      <c r="BE13" s="52">
        <v>0</v>
      </c>
      <c r="BF13" s="52">
        <f>L13</f>
        <v>0.233</v>
      </c>
      <c r="BH13" s="3">
        <f>F13*AO13</f>
        <v>0</v>
      </c>
      <c r="BI13" s="3">
        <f>F13*AP13</f>
        <v>0</v>
      </c>
      <c r="BJ13" s="3">
        <f>F13*G13</f>
        <v>0</v>
      </c>
    </row>
    <row r="14" spans="1:47" ht="12.75">
      <c r="A14" s="30"/>
      <c r="B14" s="36"/>
      <c r="C14" s="36" t="s">
        <v>67</v>
      </c>
      <c r="D14" s="36" t="s">
        <v>157</v>
      </c>
      <c r="E14" s="30" t="s">
        <v>6</v>
      </c>
      <c r="F14" s="30" t="s">
        <v>6</v>
      </c>
      <c r="G14" s="30" t="s">
        <v>6</v>
      </c>
      <c r="H14" s="6">
        <f>SUM(H15:H20)</f>
        <v>0</v>
      </c>
      <c r="I14" s="6">
        <f>SUM(I15:I20)</f>
        <v>0</v>
      </c>
      <c r="J14" s="6">
        <f>SUM(J15:J20)</f>
        <v>0</v>
      </c>
      <c r="K14" s="45"/>
      <c r="L14" s="6">
        <f>SUM(L15:L20)</f>
        <v>1.127754</v>
      </c>
      <c r="M14" s="45"/>
      <c r="AI14" s="45"/>
      <c r="AS14" s="6">
        <f>SUM(AJ15:AJ20)</f>
        <v>0</v>
      </c>
      <c r="AT14" s="6">
        <f>SUM(AK15:AK20)</f>
        <v>0</v>
      </c>
      <c r="AU14" s="6">
        <f>SUM(AL15:AL20)</f>
        <v>0</v>
      </c>
    </row>
    <row r="15" spans="1:62" ht="12.75">
      <c r="A15" s="1" t="s">
        <v>8</v>
      </c>
      <c r="B15" s="1"/>
      <c r="C15" s="1" t="s">
        <v>70</v>
      </c>
      <c r="D15" s="1" t="s">
        <v>158</v>
      </c>
      <c r="E15" s="1" t="s">
        <v>243</v>
      </c>
      <c r="F15" s="3">
        <f>'Rozpočet - vybrané sloupce'!AR14</f>
        <v>10.5</v>
      </c>
      <c r="G15" s="3">
        <f>'Rozpočet - vybrané sloupce'!AW14</f>
        <v>0</v>
      </c>
      <c r="H15" s="3">
        <f aca="true" t="shared" si="0" ref="H15:H20">F15*AO15</f>
        <v>0</v>
      </c>
      <c r="I15" s="3">
        <f aca="true" t="shared" si="1" ref="I15:I20">F15*AP15</f>
        <v>0</v>
      </c>
      <c r="J15" s="3">
        <f aca="true" t="shared" si="2" ref="J15:J20">F15*G15</f>
        <v>0</v>
      </c>
      <c r="K15" s="3">
        <v>0.03713</v>
      </c>
      <c r="L15" s="3">
        <f aca="true" t="shared" si="3" ref="L15:L20">F15*K15</f>
        <v>0.389865</v>
      </c>
      <c r="M15" s="49" t="s">
        <v>320</v>
      </c>
      <c r="Z15" s="52">
        <f aca="true" t="shared" si="4" ref="Z15:Z20">IF(AQ15="5",BJ15,0)</f>
        <v>0</v>
      </c>
      <c r="AB15" s="52">
        <f aca="true" t="shared" si="5" ref="AB15:AB20">IF(AQ15="1",BH15,0)</f>
        <v>0</v>
      </c>
      <c r="AC15" s="52">
        <f aca="true" t="shared" si="6" ref="AC15:AC20">IF(AQ15="1",BI15,0)</f>
        <v>0</v>
      </c>
      <c r="AD15" s="52">
        <f aca="true" t="shared" si="7" ref="AD15:AD20">IF(AQ15="7",BH15,0)</f>
        <v>0</v>
      </c>
      <c r="AE15" s="52">
        <f aca="true" t="shared" si="8" ref="AE15:AE20">IF(AQ15="7",BI15,0)</f>
        <v>0</v>
      </c>
      <c r="AF15" s="52">
        <f aca="true" t="shared" si="9" ref="AF15:AF20">IF(AQ15="2",BH15,0)</f>
        <v>0</v>
      </c>
      <c r="AG15" s="52">
        <f aca="true" t="shared" si="10" ref="AG15:AG20">IF(AQ15="2",BI15,0)</f>
        <v>0</v>
      </c>
      <c r="AH15" s="52">
        <f aca="true" t="shared" si="11" ref="AH15:AH20">IF(AQ15="0",BJ15,0)</f>
        <v>0</v>
      </c>
      <c r="AI15" s="45"/>
      <c r="AJ15" s="3">
        <f aca="true" t="shared" si="12" ref="AJ15:AJ20">IF(AN15=0,J15,0)</f>
        <v>0</v>
      </c>
      <c r="AK15" s="3">
        <f aca="true" t="shared" si="13" ref="AK15:AK20">IF(AN15=15,J15,0)</f>
        <v>0</v>
      </c>
      <c r="AL15" s="3">
        <f aca="true" t="shared" si="14" ref="AL15:AL20">IF(AN15=21,J15,0)</f>
        <v>0</v>
      </c>
      <c r="AN15" s="52">
        <v>21</v>
      </c>
      <c r="AO15" s="52">
        <f>G15*0.484595744680851</f>
        <v>0</v>
      </c>
      <c r="AP15" s="52">
        <f>G15*(1-0.484595744680851)</f>
        <v>0</v>
      </c>
      <c r="AQ15" s="49" t="s">
        <v>7</v>
      </c>
      <c r="AV15" s="52">
        <f aca="true" t="shared" si="15" ref="AV15:AV20">AW15+AX15</f>
        <v>0</v>
      </c>
      <c r="AW15" s="52">
        <f aca="true" t="shared" si="16" ref="AW15:AW20">F15*AO15</f>
        <v>0</v>
      </c>
      <c r="AX15" s="52">
        <f aca="true" t="shared" si="17" ref="AX15:AX20">F15*AP15</f>
        <v>0</v>
      </c>
      <c r="AY15" s="53" t="s">
        <v>333</v>
      </c>
      <c r="AZ15" s="53" t="s">
        <v>360</v>
      </c>
      <c r="BA15" s="45" t="s">
        <v>368</v>
      </c>
      <c r="BC15" s="52">
        <f aca="true" t="shared" si="18" ref="BC15:BC20">AW15+AX15</f>
        <v>0</v>
      </c>
      <c r="BD15" s="52">
        <f aca="true" t="shared" si="19" ref="BD15:BD20">G15/(100-BE15)*100</f>
        <v>0</v>
      </c>
      <c r="BE15" s="52">
        <v>0</v>
      </c>
      <c r="BF15" s="52">
        <f aca="true" t="shared" si="20" ref="BF15:BF20">L15</f>
        <v>0.389865</v>
      </c>
      <c r="BH15" s="3">
        <f aca="true" t="shared" si="21" ref="BH15:BH20">F15*AO15</f>
        <v>0</v>
      </c>
      <c r="BI15" s="3">
        <f aca="true" t="shared" si="22" ref="BI15:BI20">F15*AP15</f>
        <v>0</v>
      </c>
      <c r="BJ15" s="3">
        <f aca="true" t="shared" si="23" ref="BJ15:BJ20">F15*G15</f>
        <v>0</v>
      </c>
    </row>
    <row r="16" spans="1:62" ht="12.75">
      <c r="A16" s="1" t="s">
        <v>9</v>
      </c>
      <c r="B16" s="1"/>
      <c r="C16" s="1" t="s">
        <v>71</v>
      </c>
      <c r="D16" s="1" t="s">
        <v>159</v>
      </c>
      <c r="E16" s="1" t="s">
        <v>242</v>
      </c>
      <c r="F16" s="3">
        <f>'Rozpočet - vybrané sloupce'!AR15</f>
        <v>96.63</v>
      </c>
      <c r="G16" s="3">
        <f>'Rozpočet - vybrané sloupce'!AW15</f>
        <v>0</v>
      </c>
      <c r="H16" s="3">
        <f t="shared" si="0"/>
        <v>0</v>
      </c>
      <c r="I16" s="3">
        <f t="shared" si="1"/>
        <v>0</v>
      </c>
      <c r="J16" s="3">
        <f t="shared" si="2"/>
        <v>0</v>
      </c>
      <c r="K16" s="3">
        <v>0.00252</v>
      </c>
      <c r="L16" s="3">
        <f t="shared" si="3"/>
        <v>0.2435076</v>
      </c>
      <c r="M16" s="49" t="s">
        <v>320</v>
      </c>
      <c r="Z16" s="52">
        <f t="shared" si="4"/>
        <v>0</v>
      </c>
      <c r="AB16" s="52">
        <f t="shared" si="5"/>
        <v>0</v>
      </c>
      <c r="AC16" s="52">
        <f t="shared" si="6"/>
        <v>0</v>
      </c>
      <c r="AD16" s="52">
        <f t="shared" si="7"/>
        <v>0</v>
      </c>
      <c r="AE16" s="52">
        <f t="shared" si="8"/>
        <v>0</v>
      </c>
      <c r="AF16" s="52">
        <f t="shared" si="9"/>
        <v>0</v>
      </c>
      <c r="AG16" s="52">
        <f t="shared" si="10"/>
        <v>0</v>
      </c>
      <c r="AH16" s="52">
        <f t="shared" si="11"/>
        <v>0</v>
      </c>
      <c r="AI16" s="45"/>
      <c r="AJ16" s="3">
        <f t="shared" si="12"/>
        <v>0</v>
      </c>
      <c r="AK16" s="3">
        <f t="shared" si="13"/>
        <v>0</v>
      </c>
      <c r="AL16" s="3">
        <f t="shared" si="14"/>
        <v>0</v>
      </c>
      <c r="AN16" s="52">
        <v>21</v>
      </c>
      <c r="AO16" s="52">
        <f>G16*0.185567973045112</f>
        <v>0</v>
      </c>
      <c r="AP16" s="52">
        <f>G16*(1-0.185567973045112)</f>
        <v>0</v>
      </c>
      <c r="AQ16" s="49" t="s">
        <v>7</v>
      </c>
      <c r="AV16" s="52">
        <f t="shared" si="15"/>
        <v>0</v>
      </c>
      <c r="AW16" s="52">
        <f t="shared" si="16"/>
        <v>0</v>
      </c>
      <c r="AX16" s="52">
        <f t="shared" si="17"/>
        <v>0</v>
      </c>
      <c r="AY16" s="53" t="s">
        <v>333</v>
      </c>
      <c r="AZ16" s="53" t="s">
        <v>360</v>
      </c>
      <c r="BA16" s="45" t="s">
        <v>368</v>
      </c>
      <c r="BC16" s="52">
        <f t="shared" si="18"/>
        <v>0</v>
      </c>
      <c r="BD16" s="52">
        <f t="shared" si="19"/>
        <v>0</v>
      </c>
      <c r="BE16" s="52">
        <v>0</v>
      </c>
      <c r="BF16" s="52">
        <f t="shared" si="20"/>
        <v>0.2435076</v>
      </c>
      <c r="BH16" s="3">
        <f t="shared" si="21"/>
        <v>0</v>
      </c>
      <c r="BI16" s="3">
        <f t="shared" si="22"/>
        <v>0</v>
      </c>
      <c r="BJ16" s="3">
        <f t="shared" si="23"/>
        <v>0</v>
      </c>
    </row>
    <row r="17" spans="1:62" ht="12.75">
      <c r="A17" s="1" t="s">
        <v>10</v>
      </c>
      <c r="B17" s="1"/>
      <c r="C17" s="1" t="s">
        <v>72</v>
      </c>
      <c r="D17" s="1" t="s">
        <v>160</v>
      </c>
      <c r="E17" s="1" t="s">
        <v>242</v>
      </c>
      <c r="F17" s="3">
        <f>'Rozpočet - vybrané sloupce'!AR16</f>
        <v>4</v>
      </c>
      <c r="G17" s="3">
        <f>'Rozpočet - vybrané sloupce'!AW16</f>
        <v>0</v>
      </c>
      <c r="H17" s="3">
        <f t="shared" si="0"/>
        <v>0</v>
      </c>
      <c r="I17" s="3">
        <f t="shared" si="1"/>
        <v>0</v>
      </c>
      <c r="J17" s="3">
        <f t="shared" si="2"/>
        <v>0</v>
      </c>
      <c r="K17" s="3">
        <v>0.03921</v>
      </c>
      <c r="L17" s="3">
        <f t="shared" si="3"/>
        <v>0.15684</v>
      </c>
      <c r="M17" s="49" t="s">
        <v>320</v>
      </c>
      <c r="Z17" s="52">
        <f t="shared" si="4"/>
        <v>0</v>
      </c>
      <c r="AB17" s="52">
        <f t="shared" si="5"/>
        <v>0</v>
      </c>
      <c r="AC17" s="52">
        <f t="shared" si="6"/>
        <v>0</v>
      </c>
      <c r="AD17" s="52">
        <f t="shared" si="7"/>
        <v>0</v>
      </c>
      <c r="AE17" s="52">
        <f t="shared" si="8"/>
        <v>0</v>
      </c>
      <c r="AF17" s="52">
        <f t="shared" si="9"/>
        <v>0</v>
      </c>
      <c r="AG17" s="52">
        <f t="shared" si="10"/>
        <v>0</v>
      </c>
      <c r="AH17" s="52">
        <f t="shared" si="11"/>
        <v>0</v>
      </c>
      <c r="AI17" s="45"/>
      <c r="AJ17" s="3">
        <f t="shared" si="12"/>
        <v>0</v>
      </c>
      <c r="AK17" s="3">
        <f t="shared" si="13"/>
        <v>0</v>
      </c>
      <c r="AL17" s="3">
        <f t="shared" si="14"/>
        <v>0</v>
      </c>
      <c r="AN17" s="52">
        <v>21</v>
      </c>
      <c r="AO17" s="52">
        <f>G17*0.159433551198257</f>
        <v>0</v>
      </c>
      <c r="AP17" s="52">
        <f>G17*(1-0.159433551198257)</f>
        <v>0</v>
      </c>
      <c r="AQ17" s="49" t="s">
        <v>7</v>
      </c>
      <c r="AV17" s="52">
        <f t="shared" si="15"/>
        <v>0</v>
      </c>
      <c r="AW17" s="52">
        <f t="shared" si="16"/>
        <v>0</v>
      </c>
      <c r="AX17" s="52">
        <f t="shared" si="17"/>
        <v>0</v>
      </c>
      <c r="AY17" s="53" t="s">
        <v>333</v>
      </c>
      <c r="AZ17" s="53" t="s">
        <v>360</v>
      </c>
      <c r="BA17" s="45" t="s">
        <v>368</v>
      </c>
      <c r="BC17" s="52">
        <f t="shared" si="18"/>
        <v>0</v>
      </c>
      <c r="BD17" s="52">
        <f t="shared" si="19"/>
        <v>0</v>
      </c>
      <c r="BE17" s="52">
        <v>0</v>
      </c>
      <c r="BF17" s="52">
        <f t="shared" si="20"/>
        <v>0.15684</v>
      </c>
      <c r="BH17" s="3">
        <f t="shared" si="21"/>
        <v>0</v>
      </c>
      <c r="BI17" s="3">
        <f t="shared" si="22"/>
        <v>0</v>
      </c>
      <c r="BJ17" s="3">
        <f t="shared" si="23"/>
        <v>0</v>
      </c>
    </row>
    <row r="18" spans="1:62" ht="12.75">
      <c r="A18" s="1" t="s">
        <v>11</v>
      </c>
      <c r="B18" s="1"/>
      <c r="C18" s="1" t="s">
        <v>73</v>
      </c>
      <c r="D18" s="1" t="s">
        <v>161</v>
      </c>
      <c r="E18" s="1" t="s">
        <v>242</v>
      </c>
      <c r="F18" s="3">
        <f>'Rozpočet - vybrané sloupce'!AR17</f>
        <v>23.7</v>
      </c>
      <c r="G18" s="3">
        <f>'Rozpočet - vybrané sloupce'!AW17</f>
        <v>0</v>
      </c>
      <c r="H18" s="3">
        <f t="shared" si="0"/>
        <v>0</v>
      </c>
      <c r="I18" s="3">
        <f t="shared" si="1"/>
        <v>0</v>
      </c>
      <c r="J18" s="3">
        <f t="shared" si="2"/>
        <v>0</v>
      </c>
      <c r="K18" s="3">
        <v>0.00635</v>
      </c>
      <c r="L18" s="3">
        <f t="shared" si="3"/>
        <v>0.150495</v>
      </c>
      <c r="M18" s="49" t="s">
        <v>320</v>
      </c>
      <c r="Z18" s="52">
        <f t="shared" si="4"/>
        <v>0</v>
      </c>
      <c r="AB18" s="52">
        <f t="shared" si="5"/>
        <v>0</v>
      </c>
      <c r="AC18" s="52">
        <f t="shared" si="6"/>
        <v>0</v>
      </c>
      <c r="AD18" s="52">
        <f t="shared" si="7"/>
        <v>0</v>
      </c>
      <c r="AE18" s="52">
        <f t="shared" si="8"/>
        <v>0</v>
      </c>
      <c r="AF18" s="52">
        <f t="shared" si="9"/>
        <v>0</v>
      </c>
      <c r="AG18" s="52">
        <f t="shared" si="10"/>
        <v>0</v>
      </c>
      <c r="AH18" s="52">
        <f t="shared" si="11"/>
        <v>0</v>
      </c>
      <c r="AI18" s="45"/>
      <c r="AJ18" s="3">
        <f t="shared" si="12"/>
        <v>0</v>
      </c>
      <c r="AK18" s="3">
        <f t="shared" si="13"/>
        <v>0</v>
      </c>
      <c r="AL18" s="3">
        <f t="shared" si="14"/>
        <v>0</v>
      </c>
      <c r="AN18" s="52">
        <v>21</v>
      </c>
      <c r="AO18" s="52">
        <f>G18*0.0477631578947368</f>
        <v>0</v>
      </c>
      <c r="AP18" s="52">
        <f>G18*(1-0.0477631578947368)</f>
        <v>0</v>
      </c>
      <c r="AQ18" s="49" t="s">
        <v>7</v>
      </c>
      <c r="AV18" s="52">
        <f t="shared" si="15"/>
        <v>0</v>
      </c>
      <c r="AW18" s="52">
        <f t="shared" si="16"/>
        <v>0</v>
      </c>
      <c r="AX18" s="52">
        <f t="shared" si="17"/>
        <v>0</v>
      </c>
      <c r="AY18" s="53" t="s">
        <v>333</v>
      </c>
      <c r="AZ18" s="53" t="s">
        <v>360</v>
      </c>
      <c r="BA18" s="45" t="s">
        <v>368</v>
      </c>
      <c r="BC18" s="52">
        <f t="shared" si="18"/>
        <v>0</v>
      </c>
      <c r="BD18" s="52">
        <f t="shared" si="19"/>
        <v>0</v>
      </c>
      <c r="BE18" s="52">
        <v>0</v>
      </c>
      <c r="BF18" s="52">
        <f t="shared" si="20"/>
        <v>0.150495</v>
      </c>
      <c r="BH18" s="3">
        <f t="shared" si="21"/>
        <v>0</v>
      </c>
      <c r="BI18" s="3">
        <f t="shared" si="22"/>
        <v>0</v>
      </c>
      <c r="BJ18" s="3">
        <f t="shared" si="23"/>
        <v>0</v>
      </c>
    </row>
    <row r="19" spans="1:62" ht="12.75">
      <c r="A19" s="1" t="s">
        <v>12</v>
      </c>
      <c r="B19" s="1"/>
      <c r="C19" s="1" t="s">
        <v>74</v>
      </c>
      <c r="D19" s="1" t="s">
        <v>162</v>
      </c>
      <c r="E19" s="1" t="s">
        <v>243</v>
      </c>
      <c r="F19" s="3">
        <f>'Rozpočet - vybrané sloupce'!AR18</f>
        <v>22</v>
      </c>
      <c r="G19" s="3">
        <f>'Rozpočet - vybrané sloupce'!AW18</f>
        <v>0</v>
      </c>
      <c r="H19" s="3">
        <f t="shared" si="0"/>
        <v>0</v>
      </c>
      <c r="I19" s="3">
        <f t="shared" si="1"/>
        <v>0</v>
      </c>
      <c r="J19" s="3">
        <f t="shared" si="2"/>
        <v>0</v>
      </c>
      <c r="K19" s="3">
        <v>0.00849</v>
      </c>
      <c r="L19" s="3">
        <f t="shared" si="3"/>
        <v>0.18677999999999997</v>
      </c>
      <c r="M19" s="49" t="s">
        <v>320</v>
      </c>
      <c r="Z19" s="52">
        <f t="shared" si="4"/>
        <v>0</v>
      </c>
      <c r="AB19" s="52">
        <f t="shared" si="5"/>
        <v>0</v>
      </c>
      <c r="AC19" s="52">
        <f t="shared" si="6"/>
        <v>0</v>
      </c>
      <c r="AD19" s="52">
        <f t="shared" si="7"/>
        <v>0</v>
      </c>
      <c r="AE19" s="52">
        <f t="shared" si="8"/>
        <v>0</v>
      </c>
      <c r="AF19" s="52">
        <f t="shared" si="9"/>
        <v>0</v>
      </c>
      <c r="AG19" s="52">
        <f t="shared" si="10"/>
        <v>0</v>
      </c>
      <c r="AH19" s="52">
        <f t="shared" si="11"/>
        <v>0</v>
      </c>
      <c r="AI19" s="45"/>
      <c r="AJ19" s="3">
        <f t="shared" si="12"/>
        <v>0</v>
      </c>
      <c r="AK19" s="3">
        <f t="shared" si="13"/>
        <v>0</v>
      </c>
      <c r="AL19" s="3">
        <f t="shared" si="14"/>
        <v>0</v>
      </c>
      <c r="AN19" s="52">
        <v>21</v>
      </c>
      <c r="AO19" s="52">
        <f>G19*0.242232558139535</f>
        <v>0</v>
      </c>
      <c r="AP19" s="52">
        <f>G19*(1-0.242232558139535)</f>
        <v>0</v>
      </c>
      <c r="AQ19" s="49" t="s">
        <v>7</v>
      </c>
      <c r="AV19" s="52">
        <f t="shared" si="15"/>
        <v>0</v>
      </c>
      <c r="AW19" s="52">
        <f t="shared" si="16"/>
        <v>0</v>
      </c>
      <c r="AX19" s="52">
        <f t="shared" si="17"/>
        <v>0</v>
      </c>
      <c r="AY19" s="53" t="s">
        <v>333</v>
      </c>
      <c r="AZ19" s="53" t="s">
        <v>360</v>
      </c>
      <c r="BA19" s="45" t="s">
        <v>368</v>
      </c>
      <c r="BC19" s="52">
        <f t="shared" si="18"/>
        <v>0</v>
      </c>
      <c r="BD19" s="52">
        <f t="shared" si="19"/>
        <v>0</v>
      </c>
      <c r="BE19" s="52">
        <v>0</v>
      </c>
      <c r="BF19" s="52">
        <f t="shared" si="20"/>
        <v>0.18677999999999997</v>
      </c>
      <c r="BH19" s="3">
        <f t="shared" si="21"/>
        <v>0</v>
      </c>
      <c r="BI19" s="3">
        <f t="shared" si="22"/>
        <v>0</v>
      </c>
      <c r="BJ19" s="3">
        <f t="shared" si="23"/>
        <v>0</v>
      </c>
    </row>
    <row r="20" spans="1:62" ht="12.75">
      <c r="A20" s="1" t="s">
        <v>13</v>
      </c>
      <c r="B20" s="1"/>
      <c r="C20" s="1" t="s">
        <v>75</v>
      </c>
      <c r="D20" s="1" t="s">
        <v>163</v>
      </c>
      <c r="E20" s="1" t="s">
        <v>242</v>
      </c>
      <c r="F20" s="3">
        <f>'Rozpočet - vybrané sloupce'!AR19</f>
        <v>6.66</v>
      </c>
      <c r="G20" s="3">
        <f>'Rozpočet - vybrané sloupce'!AW19</f>
        <v>0</v>
      </c>
      <c r="H20" s="3">
        <f t="shared" si="0"/>
        <v>0</v>
      </c>
      <c r="I20" s="3">
        <f t="shared" si="1"/>
        <v>0</v>
      </c>
      <c r="J20" s="3">
        <f t="shared" si="2"/>
        <v>0</v>
      </c>
      <c r="K20" s="3">
        <v>4E-05</v>
      </c>
      <c r="L20" s="3">
        <f t="shared" si="3"/>
        <v>0.0002664</v>
      </c>
      <c r="M20" s="49" t="s">
        <v>320</v>
      </c>
      <c r="Z20" s="52">
        <f t="shared" si="4"/>
        <v>0</v>
      </c>
      <c r="AB20" s="52">
        <f t="shared" si="5"/>
        <v>0</v>
      </c>
      <c r="AC20" s="52">
        <f t="shared" si="6"/>
        <v>0</v>
      </c>
      <c r="AD20" s="52">
        <f t="shared" si="7"/>
        <v>0</v>
      </c>
      <c r="AE20" s="52">
        <f t="shared" si="8"/>
        <v>0</v>
      </c>
      <c r="AF20" s="52">
        <f t="shared" si="9"/>
        <v>0</v>
      </c>
      <c r="AG20" s="52">
        <f t="shared" si="10"/>
        <v>0</v>
      </c>
      <c r="AH20" s="52">
        <f t="shared" si="11"/>
        <v>0</v>
      </c>
      <c r="AI20" s="45"/>
      <c r="AJ20" s="3">
        <f t="shared" si="12"/>
        <v>0</v>
      </c>
      <c r="AK20" s="3">
        <f t="shared" si="13"/>
        <v>0</v>
      </c>
      <c r="AL20" s="3">
        <f t="shared" si="14"/>
        <v>0</v>
      </c>
      <c r="AN20" s="52">
        <v>21</v>
      </c>
      <c r="AO20" s="52">
        <f>G20*0.293417188014488</f>
        <v>0</v>
      </c>
      <c r="AP20" s="52">
        <f>G20*(1-0.293417188014488)</f>
        <v>0</v>
      </c>
      <c r="AQ20" s="49" t="s">
        <v>7</v>
      </c>
      <c r="AV20" s="52">
        <f t="shared" si="15"/>
        <v>0</v>
      </c>
      <c r="AW20" s="52">
        <f t="shared" si="16"/>
        <v>0</v>
      </c>
      <c r="AX20" s="52">
        <f t="shared" si="17"/>
        <v>0</v>
      </c>
      <c r="AY20" s="53" t="s">
        <v>333</v>
      </c>
      <c r="AZ20" s="53" t="s">
        <v>360</v>
      </c>
      <c r="BA20" s="45" t="s">
        <v>368</v>
      </c>
      <c r="BC20" s="52">
        <f t="shared" si="18"/>
        <v>0</v>
      </c>
      <c r="BD20" s="52">
        <f t="shared" si="19"/>
        <v>0</v>
      </c>
      <c r="BE20" s="52">
        <v>0</v>
      </c>
      <c r="BF20" s="52">
        <f t="shared" si="20"/>
        <v>0.0002664</v>
      </c>
      <c r="BH20" s="3">
        <f t="shared" si="21"/>
        <v>0</v>
      </c>
      <c r="BI20" s="3">
        <f t="shared" si="22"/>
        <v>0</v>
      </c>
      <c r="BJ20" s="3">
        <f t="shared" si="23"/>
        <v>0</v>
      </c>
    </row>
    <row r="21" spans="1:47" ht="12.75">
      <c r="A21" s="30"/>
      <c r="B21" s="36"/>
      <c r="C21" s="36" t="s">
        <v>76</v>
      </c>
      <c r="D21" s="36" t="s">
        <v>164</v>
      </c>
      <c r="E21" s="30" t="s">
        <v>6</v>
      </c>
      <c r="F21" s="30" t="s">
        <v>6</v>
      </c>
      <c r="G21" s="30" t="s">
        <v>6</v>
      </c>
      <c r="H21" s="6">
        <f>SUM(H22:H22)</f>
        <v>0</v>
      </c>
      <c r="I21" s="6">
        <f>SUM(I22:I22)</f>
        <v>0</v>
      </c>
      <c r="J21" s="6">
        <f>SUM(J22:J22)</f>
        <v>0</v>
      </c>
      <c r="K21" s="45"/>
      <c r="L21" s="6">
        <f>SUM(L22:L22)</f>
        <v>0.2940168</v>
      </c>
      <c r="M21" s="45"/>
      <c r="AI21" s="45"/>
      <c r="AS21" s="6">
        <f>SUM(AJ22:AJ22)</f>
        <v>0</v>
      </c>
      <c r="AT21" s="6">
        <f>SUM(AK22:AK22)</f>
        <v>0</v>
      </c>
      <c r="AU21" s="6">
        <f>SUM(AL22:AL22)</f>
        <v>0</v>
      </c>
    </row>
    <row r="22" spans="1:62" ht="12.75">
      <c r="A22" s="1" t="s">
        <v>14</v>
      </c>
      <c r="B22" s="1"/>
      <c r="C22" s="1" t="s">
        <v>77</v>
      </c>
      <c r="D22" s="1" t="s">
        <v>165</v>
      </c>
      <c r="E22" s="1" t="s">
        <v>242</v>
      </c>
      <c r="F22" s="3">
        <f>'Rozpočet - vybrané sloupce'!AR21</f>
        <v>16.28</v>
      </c>
      <c r="G22" s="3">
        <f>'Rozpočet - vybrané sloupce'!AW21</f>
        <v>0</v>
      </c>
      <c r="H22" s="3">
        <f>F22*AO22</f>
        <v>0</v>
      </c>
      <c r="I22" s="3">
        <f>F22*AP22</f>
        <v>0</v>
      </c>
      <c r="J22" s="3">
        <f>F22*G22</f>
        <v>0</v>
      </c>
      <c r="K22" s="3">
        <v>0.01806</v>
      </c>
      <c r="L22" s="3">
        <f>F22*K22</f>
        <v>0.2940168</v>
      </c>
      <c r="M22" s="49" t="s">
        <v>320</v>
      </c>
      <c r="Z22" s="52">
        <f>IF(AQ22="5",BJ22,0)</f>
        <v>0</v>
      </c>
      <c r="AB22" s="52">
        <f>IF(AQ22="1",BH22,0)</f>
        <v>0</v>
      </c>
      <c r="AC22" s="52">
        <f>IF(AQ22="1",BI22,0)</f>
        <v>0</v>
      </c>
      <c r="AD22" s="52">
        <f>IF(AQ22="7",BH22,0)</f>
        <v>0</v>
      </c>
      <c r="AE22" s="52">
        <f>IF(AQ22="7",BI22,0)</f>
        <v>0</v>
      </c>
      <c r="AF22" s="52">
        <f>IF(AQ22="2",BH22,0)</f>
        <v>0</v>
      </c>
      <c r="AG22" s="52">
        <f>IF(AQ22="2",BI22,0)</f>
        <v>0</v>
      </c>
      <c r="AH22" s="52">
        <f>IF(AQ22="0",BJ22,0)</f>
        <v>0</v>
      </c>
      <c r="AI22" s="45"/>
      <c r="AJ22" s="3">
        <f>IF(AN22=0,J22,0)</f>
        <v>0</v>
      </c>
      <c r="AK22" s="3">
        <f>IF(AN22=15,J22,0)</f>
        <v>0</v>
      </c>
      <c r="AL22" s="3">
        <f>IF(AN22=21,J22,0)</f>
        <v>0</v>
      </c>
      <c r="AN22" s="52">
        <v>21</v>
      </c>
      <c r="AO22" s="52">
        <f>G22*0.620424880232467</f>
        <v>0</v>
      </c>
      <c r="AP22" s="52">
        <f>G22*(1-0.620424880232467)</f>
        <v>0</v>
      </c>
      <c r="AQ22" s="49" t="s">
        <v>7</v>
      </c>
      <c r="AV22" s="52">
        <f>AW22+AX22</f>
        <v>0</v>
      </c>
      <c r="AW22" s="52">
        <f>F22*AO22</f>
        <v>0</v>
      </c>
      <c r="AX22" s="52">
        <f>F22*AP22</f>
        <v>0</v>
      </c>
      <c r="AY22" s="53" t="s">
        <v>334</v>
      </c>
      <c r="AZ22" s="53" t="s">
        <v>360</v>
      </c>
      <c r="BA22" s="45" t="s">
        <v>368</v>
      </c>
      <c r="BC22" s="52">
        <f>AW22+AX22</f>
        <v>0</v>
      </c>
      <c r="BD22" s="52">
        <f>G22/(100-BE22)*100</f>
        <v>0</v>
      </c>
      <c r="BE22" s="52">
        <v>0</v>
      </c>
      <c r="BF22" s="52">
        <f>L22</f>
        <v>0.2940168</v>
      </c>
      <c r="BH22" s="3">
        <f>F22*AO22</f>
        <v>0</v>
      </c>
      <c r="BI22" s="3">
        <f>F22*AP22</f>
        <v>0</v>
      </c>
      <c r="BJ22" s="3">
        <f>F22*G22</f>
        <v>0</v>
      </c>
    </row>
    <row r="23" spans="1:47" ht="12.75">
      <c r="A23" s="30"/>
      <c r="B23" s="36"/>
      <c r="C23" s="36" t="s">
        <v>78</v>
      </c>
      <c r="D23" s="36" t="s">
        <v>166</v>
      </c>
      <c r="E23" s="30" t="s">
        <v>6</v>
      </c>
      <c r="F23" s="30" t="s">
        <v>6</v>
      </c>
      <c r="G23" s="30" t="s">
        <v>6</v>
      </c>
      <c r="H23" s="6">
        <f>SUM(H24:H24)</f>
        <v>0</v>
      </c>
      <c r="I23" s="6">
        <f>SUM(I24:I24)</f>
        <v>0</v>
      </c>
      <c r="J23" s="6">
        <f>SUM(J24:J24)</f>
        <v>0</v>
      </c>
      <c r="K23" s="45"/>
      <c r="L23" s="6">
        <f>SUM(L24:L24)</f>
        <v>0.26164</v>
      </c>
      <c r="M23" s="45"/>
      <c r="AI23" s="45"/>
      <c r="AS23" s="6">
        <f>SUM(AJ24:AJ24)</f>
        <v>0</v>
      </c>
      <c r="AT23" s="6">
        <f>SUM(AK24:AK24)</f>
        <v>0</v>
      </c>
      <c r="AU23" s="6">
        <f>SUM(AL24:AL24)</f>
        <v>0</v>
      </c>
    </row>
    <row r="24" spans="1:62" ht="12.75">
      <c r="A24" s="1" t="s">
        <v>15</v>
      </c>
      <c r="B24" s="1"/>
      <c r="C24" s="1" t="s">
        <v>79</v>
      </c>
      <c r="D24" s="1" t="s">
        <v>167</v>
      </c>
      <c r="E24" s="1" t="s">
        <v>244</v>
      </c>
      <c r="F24" s="3">
        <f>'Rozpočet - vybrané sloupce'!AR23</f>
        <v>4</v>
      </c>
      <c r="G24" s="3">
        <f>'Rozpočet - vybrané sloupce'!AW23</f>
        <v>0</v>
      </c>
      <c r="H24" s="3">
        <f>F24*AO24</f>
        <v>0</v>
      </c>
      <c r="I24" s="3">
        <f>F24*AP24</f>
        <v>0</v>
      </c>
      <c r="J24" s="3">
        <f>F24*G24</f>
        <v>0</v>
      </c>
      <c r="K24" s="3">
        <v>0.06541</v>
      </c>
      <c r="L24" s="3">
        <f>F24*K24</f>
        <v>0.26164</v>
      </c>
      <c r="M24" s="49" t="s">
        <v>320</v>
      </c>
      <c r="Z24" s="52">
        <f>IF(AQ24="5",BJ24,0)</f>
        <v>0</v>
      </c>
      <c r="AB24" s="52">
        <f>IF(AQ24="1",BH24,0)</f>
        <v>0</v>
      </c>
      <c r="AC24" s="52">
        <f>IF(AQ24="1",BI24,0)</f>
        <v>0</v>
      </c>
      <c r="AD24" s="52">
        <f>IF(AQ24="7",BH24,0)</f>
        <v>0</v>
      </c>
      <c r="AE24" s="52">
        <f>IF(AQ24="7",BI24,0)</f>
        <v>0</v>
      </c>
      <c r="AF24" s="52">
        <f>IF(AQ24="2",BH24,0)</f>
        <v>0</v>
      </c>
      <c r="AG24" s="52">
        <f>IF(AQ24="2",BI24,0)</f>
        <v>0</v>
      </c>
      <c r="AH24" s="52">
        <f>IF(AQ24="0",BJ24,0)</f>
        <v>0</v>
      </c>
      <c r="AI24" s="45"/>
      <c r="AJ24" s="3">
        <f>IF(AN24=0,J24,0)</f>
        <v>0</v>
      </c>
      <c r="AK24" s="3">
        <f>IF(AN24=15,J24,0)</f>
        <v>0</v>
      </c>
      <c r="AL24" s="3">
        <f>IF(AN24=21,J24,0)</f>
        <v>0</v>
      </c>
      <c r="AN24" s="52">
        <v>21</v>
      </c>
      <c r="AO24" s="52">
        <f>G24*0.726509081544369</f>
        <v>0</v>
      </c>
      <c r="AP24" s="52">
        <f>G24*(1-0.726509081544369)</f>
        <v>0</v>
      </c>
      <c r="AQ24" s="49" t="s">
        <v>7</v>
      </c>
      <c r="AV24" s="52">
        <f>AW24+AX24</f>
        <v>0</v>
      </c>
      <c r="AW24" s="52">
        <f>F24*AO24</f>
        <v>0</v>
      </c>
      <c r="AX24" s="52">
        <f>F24*AP24</f>
        <v>0</v>
      </c>
      <c r="AY24" s="53" t="s">
        <v>335</v>
      </c>
      <c r="AZ24" s="53" t="s">
        <v>360</v>
      </c>
      <c r="BA24" s="45" t="s">
        <v>368</v>
      </c>
      <c r="BC24" s="52">
        <f>AW24+AX24</f>
        <v>0</v>
      </c>
      <c r="BD24" s="52">
        <f>G24/(100-BE24)*100</f>
        <v>0</v>
      </c>
      <c r="BE24" s="52">
        <v>0</v>
      </c>
      <c r="BF24" s="52">
        <f>L24</f>
        <v>0.26164</v>
      </c>
      <c r="BH24" s="3">
        <f>F24*AO24</f>
        <v>0</v>
      </c>
      <c r="BI24" s="3">
        <f>F24*AP24</f>
        <v>0</v>
      </c>
      <c r="BJ24" s="3">
        <f>F24*G24</f>
        <v>0</v>
      </c>
    </row>
    <row r="25" spans="1:47" ht="12.75">
      <c r="A25" s="30"/>
      <c r="B25" s="36"/>
      <c r="C25" s="36" t="s">
        <v>80</v>
      </c>
      <c r="D25" s="36" t="s">
        <v>168</v>
      </c>
      <c r="E25" s="30" t="s">
        <v>6</v>
      </c>
      <c r="F25" s="30" t="s">
        <v>6</v>
      </c>
      <c r="G25" s="30" t="s">
        <v>6</v>
      </c>
      <c r="H25" s="6">
        <f>SUM(H26:H28)</f>
        <v>0</v>
      </c>
      <c r="I25" s="6">
        <f>SUM(I26:I28)</f>
        <v>0</v>
      </c>
      <c r="J25" s="6">
        <f>SUM(J26:J28)</f>
        <v>0</v>
      </c>
      <c r="K25" s="45"/>
      <c r="L25" s="6">
        <f>SUM(L26:L28)</f>
        <v>0.46142999999999995</v>
      </c>
      <c r="M25" s="45"/>
      <c r="AI25" s="45"/>
      <c r="AS25" s="6">
        <f>SUM(AJ26:AJ28)</f>
        <v>0</v>
      </c>
      <c r="AT25" s="6">
        <f>SUM(AK26:AK28)</f>
        <v>0</v>
      </c>
      <c r="AU25" s="6">
        <f>SUM(AL26:AL28)</f>
        <v>0</v>
      </c>
    </row>
    <row r="26" spans="1:62" ht="12.75">
      <c r="A26" s="1" t="s">
        <v>16</v>
      </c>
      <c r="B26" s="1"/>
      <c r="C26" s="1" t="s">
        <v>81</v>
      </c>
      <c r="D26" s="1" t="s">
        <v>169</v>
      </c>
      <c r="E26" s="1" t="s">
        <v>243</v>
      </c>
      <c r="F26" s="3">
        <f>'Rozpočet - vybrané sloupce'!AR25</f>
        <v>14</v>
      </c>
      <c r="G26" s="3">
        <f>'Rozpočet - vybrané sloupce'!AW25</f>
        <v>0</v>
      </c>
      <c r="H26" s="3">
        <f>F26*AO26</f>
        <v>0</v>
      </c>
      <c r="I26" s="3">
        <f>F26*AP26</f>
        <v>0</v>
      </c>
      <c r="J26" s="3">
        <f>F26*G26</f>
        <v>0</v>
      </c>
      <c r="K26" s="3">
        <v>0.03065</v>
      </c>
      <c r="L26" s="3">
        <f>F26*K26</f>
        <v>0.4291</v>
      </c>
      <c r="M26" s="49" t="s">
        <v>320</v>
      </c>
      <c r="Z26" s="52">
        <f>IF(AQ26="5",BJ26,0)</f>
        <v>0</v>
      </c>
      <c r="AB26" s="52">
        <f>IF(AQ26="1",BH26,0)</f>
        <v>0</v>
      </c>
      <c r="AC26" s="52">
        <f>IF(AQ26="1",BI26,0)</f>
        <v>0</v>
      </c>
      <c r="AD26" s="52">
        <f>IF(AQ26="7",BH26,0)</f>
        <v>0</v>
      </c>
      <c r="AE26" s="52">
        <f>IF(AQ26="7",BI26,0)</f>
        <v>0</v>
      </c>
      <c r="AF26" s="52">
        <f>IF(AQ26="2",BH26,0)</f>
        <v>0</v>
      </c>
      <c r="AG26" s="52">
        <f>IF(AQ26="2",BI26,0)</f>
        <v>0</v>
      </c>
      <c r="AH26" s="52">
        <f>IF(AQ26="0",BJ26,0)</f>
        <v>0</v>
      </c>
      <c r="AI26" s="45"/>
      <c r="AJ26" s="3">
        <f>IF(AN26=0,J26,0)</f>
        <v>0</v>
      </c>
      <c r="AK26" s="3">
        <f>IF(AN26=15,J26,0)</f>
        <v>0</v>
      </c>
      <c r="AL26" s="3">
        <f>IF(AN26=21,J26,0)</f>
        <v>0</v>
      </c>
      <c r="AN26" s="52">
        <v>21</v>
      </c>
      <c r="AO26" s="52">
        <f>G26*0</f>
        <v>0</v>
      </c>
      <c r="AP26" s="52">
        <f>G26*(1-0)</f>
        <v>0</v>
      </c>
      <c r="AQ26" s="49" t="s">
        <v>13</v>
      </c>
      <c r="AV26" s="52">
        <f>AW26+AX26</f>
        <v>0</v>
      </c>
      <c r="AW26" s="52">
        <f>F26*AO26</f>
        <v>0</v>
      </c>
      <c r="AX26" s="52">
        <f>F26*AP26</f>
        <v>0</v>
      </c>
      <c r="AY26" s="53" t="s">
        <v>336</v>
      </c>
      <c r="AZ26" s="53" t="s">
        <v>361</v>
      </c>
      <c r="BA26" s="45" t="s">
        <v>368</v>
      </c>
      <c r="BC26" s="52">
        <f>AW26+AX26</f>
        <v>0</v>
      </c>
      <c r="BD26" s="52">
        <f>G26/(100-BE26)*100</f>
        <v>0</v>
      </c>
      <c r="BE26" s="52">
        <v>0</v>
      </c>
      <c r="BF26" s="52">
        <f>L26</f>
        <v>0.4291</v>
      </c>
      <c r="BH26" s="3">
        <f>F26*AO26</f>
        <v>0</v>
      </c>
      <c r="BI26" s="3">
        <f>F26*AP26</f>
        <v>0</v>
      </c>
      <c r="BJ26" s="3">
        <f>F26*G26</f>
        <v>0</v>
      </c>
    </row>
    <row r="27" spans="1:62" ht="12.75">
      <c r="A27" s="1" t="s">
        <v>17</v>
      </c>
      <c r="B27" s="1"/>
      <c r="C27" s="1" t="s">
        <v>82</v>
      </c>
      <c r="D27" s="1" t="s">
        <v>170</v>
      </c>
      <c r="E27" s="1" t="s">
        <v>243</v>
      </c>
      <c r="F27" s="3">
        <f>'Rozpočet - vybrané sloupce'!AR26</f>
        <v>16</v>
      </c>
      <c r="G27" s="3">
        <f>'Rozpočet - vybrané sloupce'!AW26</f>
        <v>0</v>
      </c>
      <c r="H27" s="3">
        <f>F27*AO27</f>
        <v>0</v>
      </c>
      <c r="I27" s="3">
        <f>F27*AP27</f>
        <v>0</v>
      </c>
      <c r="J27" s="3">
        <f>F27*G27</f>
        <v>0</v>
      </c>
      <c r="K27" s="3">
        <v>0.00198</v>
      </c>
      <c r="L27" s="3">
        <f>F27*K27</f>
        <v>0.03168</v>
      </c>
      <c r="M27" s="49" t="s">
        <v>320</v>
      </c>
      <c r="Z27" s="52">
        <f>IF(AQ27="5",BJ27,0)</f>
        <v>0</v>
      </c>
      <c r="AB27" s="52">
        <f>IF(AQ27="1",BH27,0)</f>
        <v>0</v>
      </c>
      <c r="AC27" s="52">
        <f>IF(AQ27="1",BI27,0)</f>
        <v>0</v>
      </c>
      <c r="AD27" s="52">
        <f>IF(AQ27="7",BH27,0)</f>
        <v>0</v>
      </c>
      <c r="AE27" s="52">
        <f>IF(AQ27="7",BI27,0)</f>
        <v>0</v>
      </c>
      <c r="AF27" s="52">
        <f>IF(AQ27="2",BH27,0)</f>
        <v>0</v>
      </c>
      <c r="AG27" s="52">
        <f>IF(AQ27="2",BI27,0)</f>
        <v>0</v>
      </c>
      <c r="AH27" s="52">
        <f>IF(AQ27="0",BJ27,0)</f>
        <v>0</v>
      </c>
      <c r="AI27" s="45"/>
      <c r="AJ27" s="3">
        <f>IF(AN27=0,J27,0)</f>
        <v>0</v>
      </c>
      <c r="AK27" s="3">
        <f>IF(AN27=15,J27,0)</f>
        <v>0</v>
      </c>
      <c r="AL27" s="3">
        <f>IF(AN27=21,J27,0)</f>
        <v>0</v>
      </c>
      <c r="AN27" s="52">
        <v>21</v>
      </c>
      <c r="AO27" s="52">
        <f>G27*0.472152466367713</f>
        <v>0</v>
      </c>
      <c r="AP27" s="52">
        <f>G27*(1-0.472152466367713)</f>
        <v>0</v>
      </c>
      <c r="AQ27" s="49" t="s">
        <v>13</v>
      </c>
      <c r="AV27" s="52">
        <f>AW27+AX27</f>
        <v>0</v>
      </c>
      <c r="AW27" s="52">
        <f>F27*AO27</f>
        <v>0</v>
      </c>
      <c r="AX27" s="52">
        <f>F27*AP27</f>
        <v>0</v>
      </c>
      <c r="AY27" s="53" t="s">
        <v>336</v>
      </c>
      <c r="AZ27" s="53" t="s">
        <v>361</v>
      </c>
      <c r="BA27" s="45" t="s">
        <v>368</v>
      </c>
      <c r="BC27" s="52">
        <f>AW27+AX27</f>
        <v>0</v>
      </c>
      <c r="BD27" s="52">
        <f>G27/(100-BE27)*100</f>
        <v>0</v>
      </c>
      <c r="BE27" s="52">
        <v>0</v>
      </c>
      <c r="BF27" s="52">
        <f>L27</f>
        <v>0.03168</v>
      </c>
      <c r="BH27" s="3">
        <f>F27*AO27</f>
        <v>0</v>
      </c>
      <c r="BI27" s="3">
        <f>F27*AP27</f>
        <v>0</v>
      </c>
      <c r="BJ27" s="3">
        <f>F27*G27</f>
        <v>0</v>
      </c>
    </row>
    <row r="28" spans="1:62" ht="12.75">
      <c r="A28" s="1" t="s">
        <v>18</v>
      </c>
      <c r="B28" s="1"/>
      <c r="C28" s="1" t="s">
        <v>83</v>
      </c>
      <c r="D28" s="1" t="s">
        <v>171</v>
      </c>
      <c r="E28" s="1" t="s">
        <v>245</v>
      </c>
      <c r="F28" s="3">
        <f>'Rozpočet - vybrané sloupce'!AR27</f>
        <v>1</v>
      </c>
      <c r="G28" s="3">
        <f>'Rozpočet - vybrané sloupce'!AW27</f>
        <v>0</v>
      </c>
      <c r="H28" s="3">
        <f>F28*AO28</f>
        <v>0</v>
      </c>
      <c r="I28" s="3">
        <f>F28*AP28</f>
        <v>0</v>
      </c>
      <c r="J28" s="3">
        <f>F28*G28</f>
        <v>0</v>
      </c>
      <c r="K28" s="3">
        <v>0.00065</v>
      </c>
      <c r="L28" s="3">
        <f>F28*K28</f>
        <v>0.00065</v>
      </c>
      <c r="M28" s="49" t="s">
        <v>320</v>
      </c>
      <c r="Z28" s="52">
        <f>IF(AQ28="5",BJ28,0)</f>
        <v>0</v>
      </c>
      <c r="AB28" s="52">
        <f>IF(AQ28="1",BH28,0)</f>
        <v>0</v>
      </c>
      <c r="AC28" s="52">
        <f>IF(AQ28="1",BI28,0)</f>
        <v>0</v>
      </c>
      <c r="AD28" s="52">
        <f>IF(AQ28="7",BH28,0)</f>
        <v>0</v>
      </c>
      <c r="AE28" s="52">
        <f>IF(AQ28="7",BI28,0)</f>
        <v>0</v>
      </c>
      <c r="AF28" s="52">
        <f>IF(AQ28="2",BH28,0)</f>
        <v>0</v>
      </c>
      <c r="AG28" s="52">
        <f>IF(AQ28="2",BI28,0)</f>
        <v>0</v>
      </c>
      <c r="AH28" s="52">
        <f>IF(AQ28="0",BJ28,0)</f>
        <v>0</v>
      </c>
      <c r="AI28" s="45"/>
      <c r="AJ28" s="3">
        <f>IF(AN28=0,J28,0)</f>
        <v>0</v>
      </c>
      <c r="AK28" s="3">
        <f>IF(AN28=15,J28,0)</f>
        <v>0</v>
      </c>
      <c r="AL28" s="3">
        <f>IF(AN28=21,J28,0)</f>
        <v>0</v>
      </c>
      <c r="AN28" s="52">
        <v>21</v>
      </c>
      <c r="AO28" s="52">
        <f>G28*0.0264693333333333</f>
        <v>0</v>
      </c>
      <c r="AP28" s="52">
        <f>G28*(1-0.0264693333333333)</f>
        <v>0</v>
      </c>
      <c r="AQ28" s="49" t="s">
        <v>13</v>
      </c>
      <c r="AV28" s="52">
        <f>AW28+AX28</f>
        <v>0</v>
      </c>
      <c r="AW28" s="52">
        <f>F28*AO28</f>
        <v>0</v>
      </c>
      <c r="AX28" s="52">
        <f>F28*AP28</f>
        <v>0</v>
      </c>
      <c r="AY28" s="53" t="s">
        <v>336</v>
      </c>
      <c r="AZ28" s="53" t="s">
        <v>361</v>
      </c>
      <c r="BA28" s="45" t="s">
        <v>368</v>
      </c>
      <c r="BC28" s="52">
        <f>AW28+AX28</f>
        <v>0</v>
      </c>
      <c r="BD28" s="52">
        <f>G28/(100-BE28)*100</f>
        <v>0</v>
      </c>
      <c r="BE28" s="52">
        <v>0</v>
      </c>
      <c r="BF28" s="52">
        <f>L28</f>
        <v>0.00065</v>
      </c>
      <c r="BH28" s="3">
        <f>F28*AO28</f>
        <v>0</v>
      </c>
      <c r="BI28" s="3">
        <f>F28*AP28</f>
        <v>0</v>
      </c>
      <c r="BJ28" s="3">
        <f>F28*G28</f>
        <v>0</v>
      </c>
    </row>
    <row r="29" spans="1:47" ht="12.75">
      <c r="A29" s="30"/>
      <c r="B29" s="36"/>
      <c r="C29" s="36" t="s">
        <v>84</v>
      </c>
      <c r="D29" s="36" t="s">
        <v>172</v>
      </c>
      <c r="E29" s="30" t="s">
        <v>6</v>
      </c>
      <c r="F29" s="30" t="s">
        <v>6</v>
      </c>
      <c r="G29" s="30" t="s">
        <v>6</v>
      </c>
      <c r="H29" s="6">
        <f>SUM(H30:H30)</f>
        <v>0</v>
      </c>
      <c r="I29" s="6">
        <f>SUM(I30:I30)</f>
        <v>0</v>
      </c>
      <c r="J29" s="6">
        <f>SUM(J30:J30)</f>
        <v>0</v>
      </c>
      <c r="K29" s="45"/>
      <c r="L29" s="6">
        <f>SUM(L30:L30)</f>
        <v>0.11371</v>
      </c>
      <c r="M29" s="45"/>
      <c r="AI29" s="45"/>
      <c r="AS29" s="6">
        <f>SUM(AJ30:AJ30)</f>
        <v>0</v>
      </c>
      <c r="AT29" s="6">
        <f>SUM(AK30:AK30)</f>
        <v>0</v>
      </c>
      <c r="AU29" s="6">
        <f>SUM(AL30:AL30)</f>
        <v>0</v>
      </c>
    </row>
    <row r="30" spans="1:62" ht="12.75">
      <c r="A30" s="1" t="s">
        <v>19</v>
      </c>
      <c r="B30" s="1"/>
      <c r="C30" s="1" t="s">
        <v>85</v>
      </c>
      <c r="D30" s="1" t="s">
        <v>173</v>
      </c>
      <c r="E30" s="1" t="s">
        <v>245</v>
      </c>
      <c r="F30" s="3">
        <f>'Rozpočet - vybrané sloupce'!AR29</f>
        <v>1</v>
      </c>
      <c r="G30" s="3">
        <f>'Rozpočet - vybrané sloupce'!AW29</f>
        <v>0</v>
      </c>
      <c r="H30" s="3">
        <f>F30*AO30</f>
        <v>0</v>
      </c>
      <c r="I30" s="3">
        <f>F30*AP30</f>
        <v>0</v>
      </c>
      <c r="J30" s="3">
        <f>F30*G30</f>
        <v>0</v>
      </c>
      <c r="K30" s="3">
        <v>0.11371</v>
      </c>
      <c r="L30" s="3">
        <f>F30*K30</f>
        <v>0.11371</v>
      </c>
      <c r="M30" s="49" t="s">
        <v>320</v>
      </c>
      <c r="Z30" s="52">
        <f>IF(AQ30="5",BJ30,0)</f>
        <v>0</v>
      </c>
      <c r="AB30" s="52">
        <f>IF(AQ30="1",BH30,0)</f>
        <v>0</v>
      </c>
      <c r="AC30" s="52">
        <f>IF(AQ30="1",BI30,0)</f>
        <v>0</v>
      </c>
      <c r="AD30" s="52">
        <f>IF(AQ30="7",BH30,0)</f>
        <v>0</v>
      </c>
      <c r="AE30" s="52">
        <f>IF(AQ30="7",BI30,0)</f>
        <v>0</v>
      </c>
      <c r="AF30" s="52">
        <f>IF(AQ30="2",BH30,0)</f>
        <v>0</v>
      </c>
      <c r="AG30" s="52">
        <f>IF(AQ30="2",BI30,0)</f>
        <v>0</v>
      </c>
      <c r="AH30" s="52">
        <f>IF(AQ30="0",BJ30,0)</f>
        <v>0</v>
      </c>
      <c r="AI30" s="45"/>
      <c r="AJ30" s="3">
        <f>IF(AN30=0,J30,0)</f>
        <v>0</v>
      </c>
      <c r="AK30" s="3">
        <f>IF(AN30=15,J30,0)</f>
        <v>0</v>
      </c>
      <c r="AL30" s="3">
        <f>IF(AN30=21,J30,0)</f>
        <v>0</v>
      </c>
      <c r="AN30" s="52">
        <v>21</v>
      </c>
      <c r="AO30" s="52">
        <f>G30*0.956554666666667</f>
        <v>0</v>
      </c>
      <c r="AP30" s="52">
        <f>G30*(1-0.956554666666667)</f>
        <v>0</v>
      </c>
      <c r="AQ30" s="49" t="s">
        <v>13</v>
      </c>
      <c r="AV30" s="52">
        <f>AW30+AX30</f>
        <v>0</v>
      </c>
      <c r="AW30" s="52">
        <f>F30*AO30</f>
        <v>0</v>
      </c>
      <c r="AX30" s="52">
        <f>F30*AP30</f>
        <v>0</v>
      </c>
      <c r="AY30" s="53" t="s">
        <v>337</v>
      </c>
      <c r="AZ30" s="53" t="s">
        <v>361</v>
      </c>
      <c r="BA30" s="45" t="s">
        <v>368</v>
      </c>
      <c r="BC30" s="52">
        <f>AW30+AX30</f>
        <v>0</v>
      </c>
      <c r="BD30" s="52">
        <f>G30/(100-BE30)*100</f>
        <v>0</v>
      </c>
      <c r="BE30" s="52">
        <v>0</v>
      </c>
      <c r="BF30" s="52">
        <f>L30</f>
        <v>0.11371</v>
      </c>
      <c r="BH30" s="3">
        <f>F30*AO30</f>
        <v>0</v>
      </c>
      <c r="BI30" s="3">
        <f>F30*AP30</f>
        <v>0</v>
      </c>
      <c r="BJ30" s="3">
        <f>F30*G30</f>
        <v>0</v>
      </c>
    </row>
    <row r="31" spans="1:47" ht="12.75">
      <c r="A31" s="30"/>
      <c r="B31" s="36"/>
      <c r="C31" s="36" t="s">
        <v>86</v>
      </c>
      <c r="D31" s="36" t="s">
        <v>174</v>
      </c>
      <c r="E31" s="30" t="s">
        <v>6</v>
      </c>
      <c r="F31" s="30" t="s">
        <v>6</v>
      </c>
      <c r="G31" s="30" t="s">
        <v>6</v>
      </c>
      <c r="H31" s="6">
        <f>SUM(H32:H35)</f>
        <v>0</v>
      </c>
      <c r="I31" s="6">
        <f>SUM(I32:I35)</f>
        <v>0</v>
      </c>
      <c r="J31" s="6">
        <f>SUM(J32:J35)</f>
        <v>0</v>
      </c>
      <c r="K31" s="45"/>
      <c r="L31" s="6">
        <f>SUM(L32:L35)</f>
        <v>0.50276</v>
      </c>
      <c r="M31" s="45"/>
      <c r="AI31" s="45"/>
      <c r="AS31" s="6">
        <f>SUM(AJ32:AJ35)</f>
        <v>0</v>
      </c>
      <c r="AT31" s="6">
        <f>SUM(AK32:AK35)</f>
        <v>0</v>
      </c>
      <c r="AU31" s="6">
        <f>SUM(AL32:AL35)</f>
        <v>0</v>
      </c>
    </row>
    <row r="32" spans="1:62" ht="12.75">
      <c r="A32" s="1" t="s">
        <v>20</v>
      </c>
      <c r="B32" s="1"/>
      <c r="C32" s="1" t="s">
        <v>87</v>
      </c>
      <c r="D32" s="1" t="s">
        <v>175</v>
      </c>
      <c r="E32" s="1" t="s">
        <v>246</v>
      </c>
      <c r="F32" s="3">
        <f>'Rozpočet - vybrané sloupce'!AR31</f>
        <v>4</v>
      </c>
      <c r="G32" s="3">
        <f>'Rozpočet - vybrané sloupce'!AW31</f>
        <v>0</v>
      </c>
      <c r="H32" s="3">
        <f>F32*AO32</f>
        <v>0</v>
      </c>
      <c r="I32" s="3">
        <f>F32*AP32</f>
        <v>0</v>
      </c>
      <c r="J32" s="3">
        <f>F32*G32</f>
        <v>0</v>
      </c>
      <c r="K32" s="3">
        <v>0.01933</v>
      </c>
      <c r="L32" s="3">
        <f>F32*K32</f>
        <v>0.07732</v>
      </c>
      <c r="M32" s="49" t="s">
        <v>320</v>
      </c>
      <c r="Z32" s="52">
        <f>IF(AQ32="5",BJ32,0)</f>
        <v>0</v>
      </c>
      <c r="AB32" s="52">
        <f>IF(AQ32="1",BH32,0)</f>
        <v>0</v>
      </c>
      <c r="AC32" s="52">
        <f>IF(AQ32="1",BI32,0)</f>
        <v>0</v>
      </c>
      <c r="AD32" s="52">
        <f>IF(AQ32="7",BH32,0)</f>
        <v>0</v>
      </c>
      <c r="AE32" s="52">
        <f>IF(AQ32="7",BI32,0)</f>
        <v>0</v>
      </c>
      <c r="AF32" s="52">
        <f>IF(AQ32="2",BH32,0)</f>
        <v>0</v>
      </c>
      <c r="AG32" s="52">
        <f>IF(AQ32="2",BI32,0)</f>
        <v>0</v>
      </c>
      <c r="AH32" s="52">
        <f>IF(AQ32="0",BJ32,0)</f>
        <v>0</v>
      </c>
      <c r="AI32" s="45"/>
      <c r="AJ32" s="3">
        <f>IF(AN32=0,J32,0)</f>
        <v>0</v>
      </c>
      <c r="AK32" s="3">
        <f>IF(AN32=15,J32,0)</f>
        <v>0</v>
      </c>
      <c r="AL32" s="3">
        <f>IF(AN32=21,J32,0)</f>
        <v>0</v>
      </c>
      <c r="AN32" s="52">
        <v>21</v>
      </c>
      <c r="AO32" s="52">
        <f>G32*0</f>
        <v>0</v>
      </c>
      <c r="AP32" s="52">
        <f>G32*(1-0)</f>
        <v>0</v>
      </c>
      <c r="AQ32" s="49" t="s">
        <v>13</v>
      </c>
      <c r="AV32" s="52">
        <f>AW32+AX32</f>
        <v>0</v>
      </c>
      <c r="AW32" s="52">
        <f>F32*AO32</f>
        <v>0</v>
      </c>
      <c r="AX32" s="52">
        <f>F32*AP32</f>
        <v>0</v>
      </c>
      <c r="AY32" s="53" t="s">
        <v>338</v>
      </c>
      <c r="AZ32" s="53" t="s">
        <v>361</v>
      </c>
      <c r="BA32" s="45" t="s">
        <v>368</v>
      </c>
      <c r="BC32" s="52">
        <f>AW32+AX32</f>
        <v>0</v>
      </c>
      <c r="BD32" s="52">
        <f>G32/(100-BE32)*100</f>
        <v>0</v>
      </c>
      <c r="BE32" s="52">
        <v>0</v>
      </c>
      <c r="BF32" s="52">
        <f>L32</f>
        <v>0.07732</v>
      </c>
      <c r="BH32" s="3">
        <f>F32*AO32</f>
        <v>0</v>
      </c>
      <c r="BI32" s="3">
        <f>F32*AP32</f>
        <v>0</v>
      </c>
      <c r="BJ32" s="3">
        <f>F32*G32</f>
        <v>0</v>
      </c>
    </row>
    <row r="33" spans="1:62" ht="12.75">
      <c r="A33" s="1" t="s">
        <v>21</v>
      </c>
      <c r="B33" s="1"/>
      <c r="C33" s="1" t="s">
        <v>88</v>
      </c>
      <c r="D33" s="1" t="s">
        <v>176</v>
      </c>
      <c r="E33" s="1" t="s">
        <v>246</v>
      </c>
      <c r="F33" s="3">
        <f>'Rozpočet - vybrané sloupce'!AR32</f>
        <v>1</v>
      </c>
      <c r="G33" s="3">
        <f>'Rozpočet - vybrané sloupce'!AW32</f>
        <v>0</v>
      </c>
      <c r="H33" s="3">
        <f>F33*AO33</f>
        <v>0</v>
      </c>
      <c r="I33" s="3">
        <f>F33*AP33</f>
        <v>0</v>
      </c>
      <c r="J33" s="3">
        <f>F33*G33</f>
        <v>0</v>
      </c>
      <c r="K33" s="3">
        <v>0.21768</v>
      </c>
      <c r="L33" s="3">
        <f>F33*K33</f>
        <v>0.21768</v>
      </c>
      <c r="M33" s="49" t="s">
        <v>320</v>
      </c>
      <c r="Z33" s="52">
        <f>IF(AQ33="5",BJ33,0)</f>
        <v>0</v>
      </c>
      <c r="AB33" s="52">
        <f>IF(AQ33="1",BH33,0)</f>
        <v>0</v>
      </c>
      <c r="AC33" s="52">
        <f>IF(AQ33="1",BI33,0)</f>
        <v>0</v>
      </c>
      <c r="AD33" s="52">
        <f>IF(AQ33="7",BH33,0)</f>
        <v>0</v>
      </c>
      <c r="AE33" s="52">
        <f>IF(AQ33="7",BI33,0)</f>
        <v>0</v>
      </c>
      <c r="AF33" s="52">
        <f>IF(AQ33="2",BH33,0)</f>
        <v>0</v>
      </c>
      <c r="AG33" s="52">
        <f>IF(AQ33="2",BI33,0)</f>
        <v>0</v>
      </c>
      <c r="AH33" s="52">
        <f>IF(AQ33="0",BJ33,0)</f>
        <v>0</v>
      </c>
      <c r="AI33" s="45"/>
      <c r="AJ33" s="3">
        <f>IF(AN33=0,J33,0)</f>
        <v>0</v>
      </c>
      <c r="AK33" s="3">
        <f>IF(AN33=15,J33,0)</f>
        <v>0</v>
      </c>
      <c r="AL33" s="3">
        <f>IF(AN33=21,J33,0)</f>
        <v>0</v>
      </c>
      <c r="AN33" s="52">
        <v>21</v>
      </c>
      <c r="AO33" s="52">
        <f>G33*0</f>
        <v>0</v>
      </c>
      <c r="AP33" s="52">
        <f>G33*(1-0)</f>
        <v>0</v>
      </c>
      <c r="AQ33" s="49" t="s">
        <v>13</v>
      </c>
      <c r="AV33" s="52">
        <f>AW33+AX33</f>
        <v>0</v>
      </c>
      <c r="AW33" s="52">
        <f>F33*AO33</f>
        <v>0</v>
      </c>
      <c r="AX33" s="52">
        <f>F33*AP33</f>
        <v>0</v>
      </c>
      <c r="AY33" s="53" t="s">
        <v>338</v>
      </c>
      <c r="AZ33" s="53" t="s">
        <v>361</v>
      </c>
      <c r="BA33" s="45" t="s">
        <v>368</v>
      </c>
      <c r="BC33" s="52">
        <f>AW33+AX33</f>
        <v>0</v>
      </c>
      <c r="BD33" s="52">
        <f>G33/(100-BE33)*100</f>
        <v>0</v>
      </c>
      <c r="BE33" s="52">
        <v>0</v>
      </c>
      <c r="BF33" s="52">
        <f>L33</f>
        <v>0.21768</v>
      </c>
      <c r="BH33" s="3">
        <f>F33*AO33</f>
        <v>0</v>
      </c>
      <c r="BI33" s="3">
        <f>F33*AP33</f>
        <v>0</v>
      </c>
      <c r="BJ33" s="3">
        <f>F33*G33</f>
        <v>0</v>
      </c>
    </row>
    <row r="34" spans="1:62" ht="12.75">
      <c r="A34" s="1" t="s">
        <v>22</v>
      </c>
      <c r="B34" s="1"/>
      <c r="C34" s="1" t="s">
        <v>89</v>
      </c>
      <c r="D34" s="1" t="s">
        <v>177</v>
      </c>
      <c r="E34" s="1" t="s">
        <v>246</v>
      </c>
      <c r="F34" s="3">
        <f>'Rozpočet - vybrané sloupce'!AR33</f>
        <v>4</v>
      </c>
      <c r="G34" s="3">
        <f>'Rozpočet - vybrané sloupce'!AW33</f>
        <v>0</v>
      </c>
      <c r="H34" s="3">
        <f>F34*AO34</f>
        <v>0</v>
      </c>
      <c r="I34" s="3">
        <f>F34*AP34</f>
        <v>0</v>
      </c>
      <c r="J34" s="3">
        <f>F34*G34</f>
        <v>0</v>
      </c>
      <c r="K34" s="3">
        <v>0.02794</v>
      </c>
      <c r="L34" s="3">
        <f>F34*K34</f>
        <v>0.11176</v>
      </c>
      <c r="M34" s="49" t="s">
        <v>320</v>
      </c>
      <c r="Z34" s="52">
        <f>IF(AQ34="5",BJ34,0)</f>
        <v>0</v>
      </c>
      <c r="AB34" s="52">
        <f>IF(AQ34="1",BH34,0)</f>
        <v>0</v>
      </c>
      <c r="AC34" s="52">
        <f>IF(AQ34="1",BI34,0)</f>
        <v>0</v>
      </c>
      <c r="AD34" s="52">
        <f>IF(AQ34="7",BH34,0)</f>
        <v>0</v>
      </c>
      <c r="AE34" s="52">
        <f>IF(AQ34="7",BI34,0)</f>
        <v>0</v>
      </c>
      <c r="AF34" s="52">
        <f>IF(AQ34="2",BH34,0)</f>
        <v>0</v>
      </c>
      <c r="AG34" s="52">
        <f>IF(AQ34="2",BI34,0)</f>
        <v>0</v>
      </c>
      <c r="AH34" s="52">
        <f>IF(AQ34="0",BJ34,0)</f>
        <v>0</v>
      </c>
      <c r="AI34" s="45"/>
      <c r="AJ34" s="3">
        <f>IF(AN34=0,J34,0)</f>
        <v>0</v>
      </c>
      <c r="AK34" s="3">
        <f>IF(AN34=15,J34,0)</f>
        <v>0</v>
      </c>
      <c r="AL34" s="3">
        <f>IF(AN34=21,J34,0)</f>
        <v>0</v>
      </c>
      <c r="AN34" s="52">
        <v>21</v>
      </c>
      <c r="AO34" s="52">
        <f>G34*0.855227356746765</f>
        <v>0</v>
      </c>
      <c r="AP34" s="52">
        <f>G34*(1-0.855227356746765)</f>
        <v>0</v>
      </c>
      <c r="AQ34" s="49" t="s">
        <v>13</v>
      </c>
      <c r="AV34" s="52">
        <f>AW34+AX34</f>
        <v>0</v>
      </c>
      <c r="AW34" s="52">
        <f>F34*AO34</f>
        <v>0</v>
      </c>
      <c r="AX34" s="52">
        <f>F34*AP34</f>
        <v>0</v>
      </c>
      <c r="AY34" s="53" t="s">
        <v>338</v>
      </c>
      <c r="AZ34" s="53" t="s">
        <v>361</v>
      </c>
      <c r="BA34" s="45" t="s">
        <v>368</v>
      </c>
      <c r="BC34" s="52">
        <f>AW34+AX34</f>
        <v>0</v>
      </c>
      <c r="BD34" s="52">
        <f>G34/(100-BE34)*100</f>
        <v>0</v>
      </c>
      <c r="BE34" s="52">
        <v>0</v>
      </c>
      <c r="BF34" s="52">
        <f>L34</f>
        <v>0.11176</v>
      </c>
      <c r="BH34" s="3">
        <f>F34*AO34</f>
        <v>0</v>
      </c>
      <c r="BI34" s="3">
        <f>F34*AP34</f>
        <v>0</v>
      </c>
      <c r="BJ34" s="3">
        <f>F34*G34</f>
        <v>0</v>
      </c>
    </row>
    <row r="35" spans="1:62" ht="12.75">
      <c r="A35" s="1" t="s">
        <v>23</v>
      </c>
      <c r="B35" s="1"/>
      <c r="C35" s="1" t="s">
        <v>90</v>
      </c>
      <c r="D35" s="1" t="s">
        <v>178</v>
      </c>
      <c r="E35" s="1" t="s">
        <v>246</v>
      </c>
      <c r="F35" s="3">
        <f>'Rozpočet - vybrané sloupce'!AR34</f>
        <v>6</v>
      </c>
      <c r="G35" s="3">
        <f>'Rozpočet - vybrané sloupce'!AW34</f>
        <v>0</v>
      </c>
      <c r="H35" s="3">
        <f>F35*AO35</f>
        <v>0</v>
      </c>
      <c r="I35" s="3">
        <f>F35*AP35</f>
        <v>0</v>
      </c>
      <c r="J35" s="3">
        <f>F35*G35</f>
        <v>0</v>
      </c>
      <c r="K35" s="3">
        <v>0.016</v>
      </c>
      <c r="L35" s="3">
        <f>F35*K35</f>
        <v>0.096</v>
      </c>
      <c r="M35" s="49" t="s">
        <v>320</v>
      </c>
      <c r="Z35" s="52">
        <f>IF(AQ35="5",BJ35,0)</f>
        <v>0</v>
      </c>
      <c r="AB35" s="52">
        <f>IF(AQ35="1",BH35,0)</f>
        <v>0</v>
      </c>
      <c r="AC35" s="52">
        <f>IF(AQ35="1",BI35,0)</f>
        <v>0</v>
      </c>
      <c r="AD35" s="52">
        <f>IF(AQ35="7",BH35,0)</f>
        <v>0</v>
      </c>
      <c r="AE35" s="52">
        <f>IF(AQ35="7",BI35,0)</f>
        <v>0</v>
      </c>
      <c r="AF35" s="52">
        <f>IF(AQ35="2",BH35,0)</f>
        <v>0</v>
      </c>
      <c r="AG35" s="52">
        <f>IF(AQ35="2",BI35,0)</f>
        <v>0</v>
      </c>
      <c r="AH35" s="52">
        <f>IF(AQ35="0",BJ35,0)</f>
        <v>0</v>
      </c>
      <c r="AI35" s="45"/>
      <c r="AJ35" s="3">
        <f>IF(AN35=0,J35,0)</f>
        <v>0</v>
      </c>
      <c r="AK35" s="3">
        <f>IF(AN35=15,J35,0)</f>
        <v>0</v>
      </c>
      <c r="AL35" s="3">
        <f>IF(AN35=21,J35,0)</f>
        <v>0</v>
      </c>
      <c r="AN35" s="52">
        <v>21</v>
      </c>
      <c r="AO35" s="52">
        <f>G35*0.948982558139535</f>
        <v>0</v>
      </c>
      <c r="AP35" s="52">
        <f>G35*(1-0.948982558139535)</f>
        <v>0</v>
      </c>
      <c r="AQ35" s="49" t="s">
        <v>13</v>
      </c>
      <c r="AV35" s="52">
        <f>AW35+AX35</f>
        <v>0</v>
      </c>
      <c r="AW35" s="52">
        <f>F35*AO35</f>
        <v>0</v>
      </c>
      <c r="AX35" s="52">
        <f>F35*AP35</f>
        <v>0</v>
      </c>
      <c r="AY35" s="53" t="s">
        <v>338</v>
      </c>
      <c r="AZ35" s="53" t="s">
        <v>361</v>
      </c>
      <c r="BA35" s="45" t="s">
        <v>368</v>
      </c>
      <c r="BC35" s="52">
        <f>AW35+AX35</f>
        <v>0</v>
      </c>
      <c r="BD35" s="52">
        <f>G35/(100-BE35)*100</f>
        <v>0</v>
      </c>
      <c r="BE35" s="52">
        <v>0</v>
      </c>
      <c r="BF35" s="52">
        <f>L35</f>
        <v>0.096</v>
      </c>
      <c r="BH35" s="3">
        <f>F35*AO35</f>
        <v>0</v>
      </c>
      <c r="BI35" s="3">
        <f>F35*AP35</f>
        <v>0</v>
      </c>
      <c r="BJ35" s="3">
        <f>F35*G35</f>
        <v>0</v>
      </c>
    </row>
    <row r="36" spans="1:47" ht="12.75">
      <c r="A36" s="30"/>
      <c r="B36" s="36"/>
      <c r="C36" s="36" t="s">
        <v>91</v>
      </c>
      <c r="D36" s="36" t="s">
        <v>179</v>
      </c>
      <c r="E36" s="30" t="s">
        <v>6</v>
      </c>
      <c r="F36" s="30" t="s">
        <v>6</v>
      </c>
      <c r="G36" s="30" t="s">
        <v>6</v>
      </c>
      <c r="H36" s="6">
        <f>SUM(H37:H37)</f>
        <v>0</v>
      </c>
      <c r="I36" s="6">
        <f>SUM(I37:I37)</f>
        <v>0</v>
      </c>
      <c r="J36" s="6">
        <f>SUM(J37:J37)</f>
        <v>0</v>
      </c>
      <c r="K36" s="45"/>
      <c r="L36" s="6">
        <f>SUM(L37:L37)</f>
        <v>0.00102</v>
      </c>
      <c r="M36" s="45"/>
      <c r="AI36" s="45"/>
      <c r="AS36" s="6">
        <f>SUM(AJ37:AJ37)</f>
        <v>0</v>
      </c>
      <c r="AT36" s="6">
        <f>SUM(AK37:AK37)</f>
        <v>0</v>
      </c>
      <c r="AU36" s="6">
        <f>SUM(AL37:AL37)</f>
        <v>0</v>
      </c>
    </row>
    <row r="37" spans="1:62" ht="12.75">
      <c r="A37" s="1" t="s">
        <v>24</v>
      </c>
      <c r="B37" s="1"/>
      <c r="C37" s="1" t="s">
        <v>92</v>
      </c>
      <c r="D37" s="1" t="s">
        <v>180</v>
      </c>
      <c r="E37" s="1" t="s">
        <v>245</v>
      </c>
      <c r="F37" s="3">
        <f>'Rozpočet - vybrané sloupce'!AR36</f>
        <v>1</v>
      </c>
      <c r="G37" s="3">
        <f>'Rozpočet - vybrané sloupce'!AW36</f>
        <v>0</v>
      </c>
      <c r="H37" s="3">
        <f>F37*AO37</f>
        <v>0</v>
      </c>
      <c r="I37" s="3">
        <f>F37*AP37</f>
        <v>0</v>
      </c>
      <c r="J37" s="3">
        <f>F37*G37</f>
        <v>0</v>
      </c>
      <c r="K37" s="3">
        <v>0.00102</v>
      </c>
      <c r="L37" s="3">
        <f>F37*K37</f>
        <v>0.00102</v>
      </c>
      <c r="M37" s="49" t="s">
        <v>320</v>
      </c>
      <c r="Z37" s="52">
        <f>IF(AQ37="5",BJ37,0)</f>
        <v>0</v>
      </c>
      <c r="AB37" s="52">
        <f>IF(AQ37="1",BH37,0)</f>
        <v>0</v>
      </c>
      <c r="AC37" s="52">
        <f>IF(AQ37="1",BI37,0)</f>
        <v>0</v>
      </c>
      <c r="AD37" s="52">
        <f>IF(AQ37="7",BH37,0)</f>
        <v>0</v>
      </c>
      <c r="AE37" s="52">
        <f>IF(AQ37="7",BI37,0)</f>
        <v>0</v>
      </c>
      <c r="AF37" s="52">
        <f>IF(AQ37="2",BH37,0)</f>
        <v>0</v>
      </c>
      <c r="AG37" s="52">
        <f>IF(AQ37="2",BI37,0)</f>
        <v>0</v>
      </c>
      <c r="AH37" s="52">
        <f>IF(AQ37="0",BJ37,0)</f>
        <v>0</v>
      </c>
      <c r="AI37" s="45"/>
      <c r="AJ37" s="3">
        <f>IF(AN37=0,J37,0)</f>
        <v>0</v>
      </c>
      <c r="AK37" s="3">
        <f>IF(AN37=15,J37,0)</f>
        <v>0</v>
      </c>
      <c r="AL37" s="3">
        <f>IF(AN37=21,J37,0)</f>
        <v>0</v>
      </c>
      <c r="AN37" s="52">
        <v>21</v>
      </c>
      <c r="AO37" s="52">
        <f>G37*0.13132</f>
        <v>0</v>
      </c>
      <c r="AP37" s="52">
        <f>G37*(1-0.13132)</f>
        <v>0</v>
      </c>
      <c r="AQ37" s="49" t="s">
        <v>13</v>
      </c>
      <c r="AV37" s="52">
        <f>AW37+AX37</f>
        <v>0</v>
      </c>
      <c r="AW37" s="52">
        <f>F37*AO37</f>
        <v>0</v>
      </c>
      <c r="AX37" s="52">
        <f>F37*AP37</f>
        <v>0</v>
      </c>
      <c r="AY37" s="53" t="s">
        <v>339</v>
      </c>
      <c r="AZ37" s="53" t="s">
        <v>362</v>
      </c>
      <c r="BA37" s="45" t="s">
        <v>368</v>
      </c>
      <c r="BC37" s="52">
        <f>AW37+AX37</f>
        <v>0</v>
      </c>
      <c r="BD37" s="52">
        <f>G37/(100-BE37)*100</f>
        <v>0</v>
      </c>
      <c r="BE37" s="52">
        <v>0</v>
      </c>
      <c r="BF37" s="52">
        <f>L37</f>
        <v>0.00102</v>
      </c>
      <c r="BH37" s="3">
        <f>F37*AO37</f>
        <v>0</v>
      </c>
      <c r="BI37" s="3">
        <f>F37*AP37</f>
        <v>0</v>
      </c>
      <c r="BJ37" s="3">
        <f>F37*G37</f>
        <v>0</v>
      </c>
    </row>
    <row r="38" spans="1:47" ht="12.75">
      <c r="A38" s="30"/>
      <c r="B38" s="36"/>
      <c r="C38" s="36" t="s">
        <v>93</v>
      </c>
      <c r="D38" s="36" t="s">
        <v>181</v>
      </c>
      <c r="E38" s="30" t="s">
        <v>6</v>
      </c>
      <c r="F38" s="30" t="s">
        <v>6</v>
      </c>
      <c r="G38" s="30" t="s">
        <v>6</v>
      </c>
      <c r="H38" s="6">
        <f>SUM(H39:H41)</f>
        <v>0</v>
      </c>
      <c r="I38" s="6">
        <f>SUM(I39:I41)</f>
        <v>0</v>
      </c>
      <c r="J38" s="6">
        <f>SUM(J39:J41)</f>
        <v>0</v>
      </c>
      <c r="K38" s="45"/>
      <c r="L38" s="6">
        <f>SUM(L39:L41)</f>
        <v>0.07652</v>
      </c>
      <c r="M38" s="45"/>
      <c r="AI38" s="45"/>
      <c r="AS38" s="6">
        <f>SUM(AJ39:AJ41)</f>
        <v>0</v>
      </c>
      <c r="AT38" s="6">
        <f>SUM(AK39:AK41)</f>
        <v>0</v>
      </c>
      <c r="AU38" s="6">
        <f>SUM(AL39:AL41)</f>
        <v>0</v>
      </c>
    </row>
    <row r="39" spans="1:62" ht="12.75">
      <c r="A39" s="1" t="s">
        <v>25</v>
      </c>
      <c r="B39" s="1"/>
      <c r="C39" s="1" t="s">
        <v>94</v>
      </c>
      <c r="D39" s="1" t="s">
        <v>182</v>
      </c>
      <c r="E39" s="1" t="s">
        <v>244</v>
      </c>
      <c r="F39" s="3">
        <f>'Rozpočet - vybrané sloupce'!AR38</f>
        <v>1</v>
      </c>
      <c r="G39" s="3">
        <f>'Rozpočet - vybrané sloupce'!AW38</f>
        <v>0</v>
      </c>
      <c r="H39" s="3">
        <f>F39*AO39</f>
        <v>0</v>
      </c>
      <c r="I39" s="3">
        <f>F39*AP39</f>
        <v>0</v>
      </c>
      <c r="J39" s="3">
        <f>F39*G39</f>
        <v>0</v>
      </c>
      <c r="K39" s="3">
        <v>0.07013</v>
      </c>
      <c r="L39" s="3">
        <f>F39*K39</f>
        <v>0.07013</v>
      </c>
      <c r="M39" s="49" t="s">
        <v>320</v>
      </c>
      <c r="Z39" s="52">
        <f>IF(AQ39="5",BJ39,0)</f>
        <v>0</v>
      </c>
      <c r="AB39" s="52">
        <f>IF(AQ39="1",BH39,0)</f>
        <v>0</v>
      </c>
      <c r="AC39" s="52">
        <f>IF(AQ39="1",BI39,0)</f>
        <v>0</v>
      </c>
      <c r="AD39" s="52">
        <f>IF(AQ39="7",BH39,0)</f>
        <v>0</v>
      </c>
      <c r="AE39" s="52">
        <f>IF(AQ39="7",BI39,0)</f>
        <v>0</v>
      </c>
      <c r="AF39" s="52">
        <f>IF(AQ39="2",BH39,0)</f>
        <v>0</v>
      </c>
      <c r="AG39" s="52">
        <f>IF(AQ39="2",BI39,0)</f>
        <v>0</v>
      </c>
      <c r="AH39" s="52">
        <f>IF(AQ39="0",BJ39,0)</f>
        <v>0</v>
      </c>
      <c r="AI39" s="45"/>
      <c r="AJ39" s="3">
        <f>IF(AN39=0,J39,0)</f>
        <v>0</v>
      </c>
      <c r="AK39" s="3">
        <f>IF(AN39=15,J39,0)</f>
        <v>0</v>
      </c>
      <c r="AL39" s="3">
        <f>IF(AN39=21,J39,0)</f>
        <v>0</v>
      </c>
      <c r="AN39" s="52">
        <v>21</v>
      </c>
      <c r="AO39" s="52">
        <f>G39*0.102542857142857</f>
        <v>0</v>
      </c>
      <c r="AP39" s="52">
        <f>G39*(1-0.102542857142857)</f>
        <v>0</v>
      </c>
      <c r="AQ39" s="49" t="s">
        <v>13</v>
      </c>
      <c r="AV39" s="52">
        <f>AW39+AX39</f>
        <v>0</v>
      </c>
      <c r="AW39" s="52">
        <f>F39*AO39</f>
        <v>0</v>
      </c>
      <c r="AX39" s="52">
        <f>F39*AP39</f>
        <v>0</v>
      </c>
      <c r="AY39" s="53" t="s">
        <v>340</v>
      </c>
      <c r="AZ39" s="53" t="s">
        <v>362</v>
      </c>
      <c r="BA39" s="45" t="s">
        <v>368</v>
      </c>
      <c r="BC39" s="52">
        <f>AW39+AX39</f>
        <v>0</v>
      </c>
      <c r="BD39" s="52">
        <f>G39/(100-BE39)*100</f>
        <v>0</v>
      </c>
      <c r="BE39" s="52">
        <v>0</v>
      </c>
      <c r="BF39" s="52">
        <f>L39</f>
        <v>0.07013</v>
      </c>
      <c r="BH39" s="3">
        <f>F39*AO39</f>
        <v>0</v>
      </c>
      <c r="BI39" s="3">
        <f>F39*AP39</f>
        <v>0</v>
      </c>
      <c r="BJ39" s="3">
        <f>F39*G39</f>
        <v>0</v>
      </c>
    </row>
    <row r="40" spans="1:62" ht="12.75">
      <c r="A40" s="1" t="s">
        <v>26</v>
      </c>
      <c r="B40" s="1"/>
      <c r="C40" s="1" t="s">
        <v>95</v>
      </c>
      <c r="D40" s="1" t="s">
        <v>183</v>
      </c>
      <c r="E40" s="1" t="s">
        <v>244</v>
      </c>
      <c r="F40" s="3">
        <f>'Rozpočet - vybrané sloupce'!AR39</f>
        <v>1</v>
      </c>
      <c r="G40" s="3">
        <f>'Rozpočet - vybrané sloupce'!AW39</f>
        <v>0</v>
      </c>
      <c r="H40" s="3">
        <f>F40*AO40</f>
        <v>0</v>
      </c>
      <c r="I40" s="3">
        <f>F40*AP40</f>
        <v>0</v>
      </c>
      <c r="J40" s="3">
        <f>F40*G40</f>
        <v>0</v>
      </c>
      <c r="K40" s="3">
        <v>0.00519</v>
      </c>
      <c r="L40" s="3">
        <f>F40*K40</f>
        <v>0.00519</v>
      </c>
      <c r="M40" s="49" t="s">
        <v>320</v>
      </c>
      <c r="Z40" s="52">
        <f>IF(AQ40="5",BJ40,0)</f>
        <v>0</v>
      </c>
      <c r="AB40" s="52">
        <f>IF(AQ40="1",BH40,0)</f>
        <v>0</v>
      </c>
      <c r="AC40" s="52">
        <f>IF(AQ40="1",BI40,0)</f>
        <v>0</v>
      </c>
      <c r="AD40" s="52">
        <f>IF(AQ40="7",BH40,0)</f>
        <v>0</v>
      </c>
      <c r="AE40" s="52">
        <f>IF(AQ40="7",BI40,0)</f>
        <v>0</v>
      </c>
      <c r="AF40" s="52">
        <f>IF(AQ40="2",BH40,0)</f>
        <v>0</v>
      </c>
      <c r="AG40" s="52">
        <f>IF(AQ40="2",BI40,0)</f>
        <v>0</v>
      </c>
      <c r="AH40" s="52">
        <f>IF(AQ40="0",BJ40,0)</f>
        <v>0</v>
      </c>
      <c r="AI40" s="45"/>
      <c r="AJ40" s="3">
        <f>IF(AN40=0,J40,0)</f>
        <v>0</v>
      </c>
      <c r="AK40" s="3">
        <f>IF(AN40=15,J40,0)</f>
        <v>0</v>
      </c>
      <c r="AL40" s="3">
        <f>IF(AN40=21,J40,0)</f>
        <v>0</v>
      </c>
      <c r="AN40" s="52">
        <v>21</v>
      </c>
      <c r="AO40" s="52">
        <f>G40*0.926269430051814</f>
        <v>0</v>
      </c>
      <c r="AP40" s="52">
        <f>G40*(1-0.926269430051814)</f>
        <v>0</v>
      </c>
      <c r="AQ40" s="49" t="s">
        <v>13</v>
      </c>
      <c r="AV40" s="52">
        <f>AW40+AX40</f>
        <v>0</v>
      </c>
      <c r="AW40" s="52">
        <f>F40*AO40</f>
        <v>0</v>
      </c>
      <c r="AX40" s="52">
        <f>F40*AP40</f>
        <v>0</v>
      </c>
      <c r="AY40" s="53" t="s">
        <v>340</v>
      </c>
      <c r="AZ40" s="53" t="s">
        <v>362</v>
      </c>
      <c r="BA40" s="45" t="s">
        <v>368</v>
      </c>
      <c r="BC40" s="52">
        <f>AW40+AX40</f>
        <v>0</v>
      </c>
      <c r="BD40" s="52">
        <f>G40/(100-BE40)*100</f>
        <v>0</v>
      </c>
      <c r="BE40" s="52">
        <v>0</v>
      </c>
      <c r="BF40" s="52">
        <f>L40</f>
        <v>0.00519</v>
      </c>
      <c r="BH40" s="3">
        <f>F40*AO40</f>
        <v>0</v>
      </c>
      <c r="BI40" s="3">
        <f>F40*AP40</f>
        <v>0</v>
      </c>
      <c r="BJ40" s="3">
        <f>F40*G40</f>
        <v>0</v>
      </c>
    </row>
    <row r="41" spans="1:62" ht="12.75">
      <c r="A41" s="1" t="s">
        <v>27</v>
      </c>
      <c r="B41" s="1"/>
      <c r="C41" s="1" t="s">
        <v>96</v>
      </c>
      <c r="D41" s="1" t="s">
        <v>184</v>
      </c>
      <c r="E41" s="1" t="s">
        <v>246</v>
      </c>
      <c r="F41" s="3">
        <f>'Rozpočet - vybrané sloupce'!AR40</f>
        <v>1</v>
      </c>
      <c r="G41" s="3">
        <f>'Rozpočet - vybrané sloupce'!AW40</f>
        <v>0</v>
      </c>
      <c r="H41" s="3">
        <f>F41*AO41</f>
        <v>0</v>
      </c>
      <c r="I41" s="3">
        <f>F41*AP41</f>
        <v>0</v>
      </c>
      <c r="J41" s="3">
        <f>F41*G41</f>
        <v>0</v>
      </c>
      <c r="K41" s="3">
        <v>0.0012</v>
      </c>
      <c r="L41" s="3">
        <f>F41*K41</f>
        <v>0.0012</v>
      </c>
      <c r="M41" s="49" t="s">
        <v>320</v>
      </c>
      <c r="Z41" s="52">
        <f>IF(AQ41="5",BJ41,0)</f>
        <v>0</v>
      </c>
      <c r="AB41" s="52">
        <f>IF(AQ41="1",BH41,0)</f>
        <v>0</v>
      </c>
      <c r="AC41" s="52">
        <f>IF(AQ41="1",BI41,0)</f>
        <v>0</v>
      </c>
      <c r="AD41" s="52">
        <f>IF(AQ41="7",BH41,0)</f>
        <v>0</v>
      </c>
      <c r="AE41" s="52">
        <f>IF(AQ41="7",BI41,0)</f>
        <v>0</v>
      </c>
      <c r="AF41" s="52">
        <f>IF(AQ41="2",BH41,0)</f>
        <v>0</v>
      </c>
      <c r="AG41" s="52">
        <f>IF(AQ41="2",BI41,0)</f>
        <v>0</v>
      </c>
      <c r="AH41" s="52">
        <f>IF(AQ41="0",BJ41,0)</f>
        <v>0</v>
      </c>
      <c r="AI41" s="45"/>
      <c r="AJ41" s="3">
        <f>IF(AN41=0,J41,0)</f>
        <v>0</v>
      </c>
      <c r="AK41" s="3">
        <f>IF(AN41=15,J41,0)</f>
        <v>0</v>
      </c>
      <c r="AL41" s="3">
        <f>IF(AN41=21,J41,0)</f>
        <v>0</v>
      </c>
      <c r="AN41" s="52">
        <v>21</v>
      </c>
      <c r="AO41" s="52">
        <f>G41*0.416760330578512</f>
        <v>0</v>
      </c>
      <c r="AP41" s="52">
        <f>G41*(1-0.416760330578512)</f>
        <v>0</v>
      </c>
      <c r="AQ41" s="49" t="s">
        <v>13</v>
      </c>
      <c r="AV41" s="52">
        <f>AW41+AX41</f>
        <v>0</v>
      </c>
      <c r="AW41" s="52">
        <f>F41*AO41</f>
        <v>0</v>
      </c>
      <c r="AX41" s="52">
        <f>F41*AP41</f>
        <v>0</v>
      </c>
      <c r="AY41" s="53" t="s">
        <v>340</v>
      </c>
      <c r="AZ41" s="53" t="s">
        <v>362</v>
      </c>
      <c r="BA41" s="45" t="s">
        <v>368</v>
      </c>
      <c r="BC41" s="52">
        <f>AW41+AX41</f>
        <v>0</v>
      </c>
      <c r="BD41" s="52">
        <f>G41/(100-BE41)*100</f>
        <v>0</v>
      </c>
      <c r="BE41" s="52">
        <v>0</v>
      </c>
      <c r="BF41" s="52">
        <f>L41</f>
        <v>0.0012</v>
      </c>
      <c r="BH41" s="3">
        <f>F41*AO41</f>
        <v>0</v>
      </c>
      <c r="BI41" s="3">
        <f>F41*AP41</f>
        <v>0</v>
      </c>
      <c r="BJ41" s="3">
        <f>F41*G41</f>
        <v>0</v>
      </c>
    </row>
    <row r="42" spans="1:47" ht="12.75">
      <c r="A42" s="30"/>
      <c r="B42" s="36"/>
      <c r="C42" s="36" t="s">
        <v>97</v>
      </c>
      <c r="D42" s="36" t="s">
        <v>185</v>
      </c>
      <c r="E42" s="30" t="s">
        <v>6</v>
      </c>
      <c r="F42" s="30" t="s">
        <v>6</v>
      </c>
      <c r="G42" s="30" t="s">
        <v>6</v>
      </c>
      <c r="H42" s="6">
        <f>SUM(H43:H44)</f>
        <v>0</v>
      </c>
      <c r="I42" s="6">
        <f>SUM(I43:I44)</f>
        <v>0</v>
      </c>
      <c r="J42" s="6">
        <f>SUM(J43:J44)</f>
        <v>0</v>
      </c>
      <c r="K42" s="45"/>
      <c r="L42" s="6">
        <f>SUM(L43:L44)</f>
        <v>0</v>
      </c>
      <c r="M42" s="45"/>
      <c r="AI42" s="45"/>
      <c r="AS42" s="6">
        <f>SUM(AJ43:AJ44)</f>
        <v>0</v>
      </c>
      <c r="AT42" s="6">
        <f>SUM(AK43:AK44)</f>
        <v>0</v>
      </c>
      <c r="AU42" s="6">
        <f>SUM(AL43:AL44)</f>
        <v>0</v>
      </c>
    </row>
    <row r="43" spans="1:62" ht="12.75">
      <c r="A43" s="1" t="s">
        <v>28</v>
      </c>
      <c r="B43" s="1"/>
      <c r="C43" s="1" t="s">
        <v>98</v>
      </c>
      <c r="D43" s="1" t="s">
        <v>186</v>
      </c>
      <c r="E43" s="1" t="s">
        <v>244</v>
      </c>
      <c r="F43" s="3">
        <f>'Rozpočet - vybrané sloupce'!AR42</f>
        <v>5</v>
      </c>
      <c r="G43" s="3">
        <f>'Rozpočet - vybrané sloupce'!AW42</f>
        <v>0</v>
      </c>
      <c r="H43" s="3">
        <f>F43*AO43</f>
        <v>0</v>
      </c>
      <c r="I43" s="3">
        <f>F43*AP43</f>
        <v>0</v>
      </c>
      <c r="J43" s="3">
        <f>F43*G43</f>
        <v>0</v>
      </c>
      <c r="K43" s="3">
        <v>0</v>
      </c>
      <c r="L43" s="3">
        <f>F43*K43</f>
        <v>0</v>
      </c>
      <c r="M43" s="49" t="s">
        <v>320</v>
      </c>
      <c r="Z43" s="52">
        <f>IF(AQ43="5",BJ43,0)</f>
        <v>0</v>
      </c>
      <c r="AB43" s="52">
        <f>IF(AQ43="1",BH43,0)</f>
        <v>0</v>
      </c>
      <c r="AC43" s="52">
        <f>IF(AQ43="1",BI43,0)</f>
        <v>0</v>
      </c>
      <c r="AD43" s="52">
        <f>IF(AQ43="7",BH43,0)</f>
        <v>0</v>
      </c>
      <c r="AE43" s="52">
        <f>IF(AQ43="7",BI43,0)</f>
        <v>0</v>
      </c>
      <c r="AF43" s="52">
        <f>IF(AQ43="2",BH43,0)</f>
        <v>0</v>
      </c>
      <c r="AG43" s="52">
        <f>IF(AQ43="2",BI43,0)</f>
        <v>0</v>
      </c>
      <c r="AH43" s="52">
        <f>IF(AQ43="0",BJ43,0)</f>
        <v>0</v>
      </c>
      <c r="AI43" s="45"/>
      <c r="AJ43" s="3">
        <f>IF(AN43=0,J43,0)</f>
        <v>0</v>
      </c>
      <c r="AK43" s="3">
        <f>IF(AN43=15,J43,0)</f>
        <v>0</v>
      </c>
      <c r="AL43" s="3">
        <f>IF(AN43=21,J43,0)</f>
        <v>0</v>
      </c>
      <c r="AN43" s="52">
        <v>21</v>
      </c>
      <c r="AO43" s="52">
        <f>G43*0</f>
        <v>0</v>
      </c>
      <c r="AP43" s="52">
        <f>G43*(1-0)</f>
        <v>0</v>
      </c>
      <c r="AQ43" s="49" t="s">
        <v>13</v>
      </c>
      <c r="AV43" s="52">
        <f>AW43+AX43</f>
        <v>0</v>
      </c>
      <c r="AW43" s="52">
        <f>F43*AO43</f>
        <v>0</v>
      </c>
      <c r="AX43" s="52">
        <f>F43*AP43</f>
        <v>0</v>
      </c>
      <c r="AY43" s="53" t="s">
        <v>341</v>
      </c>
      <c r="AZ43" s="53" t="s">
        <v>363</v>
      </c>
      <c r="BA43" s="45" t="s">
        <v>368</v>
      </c>
      <c r="BC43" s="52">
        <f>AW43+AX43</f>
        <v>0</v>
      </c>
      <c r="BD43" s="52">
        <f>G43/(100-BE43)*100</f>
        <v>0</v>
      </c>
      <c r="BE43" s="52">
        <v>0</v>
      </c>
      <c r="BF43" s="52">
        <f>L43</f>
        <v>0</v>
      </c>
      <c r="BH43" s="3">
        <f>F43*AO43</f>
        <v>0</v>
      </c>
      <c r="BI43" s="3">
        <f>F43*AP43</f>
        <v>0</v>
      </c>
      <c r="BJ43" s="3">
        <f>F43*G43</f>
        <v>0</v>
      </c>
    </row>
    <row r="44" spans="1:62" ht="12.75">
      <c r="A44" s="1" t="s">
        <v>29</v>
      </c>
      <c r="B44" s="1"/>
      <c r="C44" s="1" t="s">
        <v>99</v>
      </c>
      <c r="D44" s="1" t="s">
        <v>187</v>
      </c>
      <c r="E44" s="1" t="s">
        <v>244</v>
      </c>
      <c r="F44" s="3">
        <f>'Rozpočet - vybrané sloupce'!AR43</f>
        <v>5</v>
      </c>
      <c r="G44" s="3">
        <f>'Rozpočet - vybrané sloupce'!AW43</f>
        <v>0</v>
      </c>
      <c r="H44" s="3">
        <f>F44*AO44</f>
        <v>0</v>
      </c>
      <c r="I44" s="3">
        <f>F44*AP44</f>
        <v>0</v>
      </c>
      <c r="J44" s="3">
        <f>F44*G44</f>
        <v>0</v>
      </c>
      <c r="K44" s="3">
        <v>0</v>
      </c>
      <c r="L44" s="3">
        <f>F44*K44</f>
        <v>0</v>
      </c>
      <c r="M44" s="49" t="s">
        <v>320</v>
      </c>
      <c r="Z44" s="52">
        <f>IF(AQ44="5",BJ44,0)</f>
        <v>0</v>
      </c>
      <c r="AB44" s="52">
        <f>IF(AQ44="1",BH44,0)</f>
        <v>0</v>
      </c>
      <c r="AC44" s="52">
        <f>IF(AQ44="1",BI44,0)</f>
        <v>0</v>
      </c>
      <c r="AD44" s="52">
        <f>IF(AQ44="7",BH44,0)</f>
        <v>0</v>
      </c>
      <c r="AE44" s="52">
        <f>IF(AQ44="7",BI44,0)</f>
        <v>0</v>
      </c>
      <c r="AF44" s="52">
        <f>IF(AQ44="2",BH44,0)</f>
        <v>0</v>
      </c>
      <c r="AG44" s="52">
        <f>IF(AQ44="2",BI44,0)</f>
        <v>0</v>
      </c>
      <c r="AH44" s="52">
        <f>IF(AQ44="0",BJ44,0)</f>
        <v>0</v>
      </c>
      <c r="AI44" s="45"/>
      <c r="AJ44" s="3">
        <f>IF(AN44=0,J44,0)</f>
        <v>0</v>
      </c>
      <c r="AK44" s="3">
        <f>IF(AN44=15,J44,0)</f>
        <v>0</v>
      </c>
      <c r="AL44" s="3">
        <f>IF(AN44=21,J44,0)</f>
        <v>0</v>
      </c>
      <c r="AN44" s="52">
        <v>21</v>
      </c>
      <c r="AO44" s="52">
        <f>G44*0</f>
        <v>0</v>
      </c>
      <c r="AP44" s="52">
        <f>G44*(1-0)</f>
        <v>0</v>
      </c>
      <c r="AQ44" s="49" t="s">
        <v>13</v>
      </c>
      <c r="AV44" s="52">
        <f>AW44+AX44</f>
        <v>0</v>
      </c>
      <c r="AW44" s="52">
        <f>F44*AO44</f>
        <v>0</v>
      </c>
      <c r="AX44" s="52">
        <f>F44*AP44</f>
        <v>0</v>
      </c>
      <c r="AY44" s="53" t="s">
        <v>341</v>
      </c>
      <c r="AZ44" s="53" t="s">
        <v>363</v>
      </c>
      <c r="BA44" s="45" t="s">
        <v>368</v>
      </c>
      <c r="BC44" s="52">
        <f>AW44+AX44</f>
        <v>0</v>
      </c>
      <c r="BD44" s="52">
        <f>G44/(100-BE44)*100</f>
        <v>0</v>
      </c>
      <c r="BE44" s="52">
        <v>0</v>
      </c>
      <c r="BF44" s="52">
        <f>L44</f>
        <v>0</v>
      </c>
      <c r="BH44" s="3">
        <f>F44*AO44</f>
        <v>0</v>
      </c>
      <c r="BI44" s="3">
        <f>F44*AP44</f>
        <v>0</v>
      </c>
      <c r="BJ44" s="3">
        <f>F44*G44</f>
        <v>0</v>
      </c>
    </row>
    <row r="45" spans="1:47" ht="12.75">
      <c r="A45" s="30"/>
      <c r="B45" s="36"/>
      <c r="C45" s="36" t="s">
        <v>100</v>
      </c>
      <c r="D45" s="36" t="s">
        <v>188</v>
      </c>
      <c r="E45" s="30" t="s">
        <v>6</v>
      </c>
      <c r="F45" s="30" t="s">
        <v>6</v>
      </c>
      <c r="G45" s="30" t="s">
        <v>6</v>
      </c>
      <c r="H45" s="6">
        <f>SUM(H46:H49)</f>
        <v>0</v>
      </c>
      <c r="I45" s="6">
        <f>SUM(I46:I49)</f>
        <v>0</v>
      </c>
      <c r="J45" s="6">
        <f>SUM(J46:J49)</f>
        <v>0</v>
      </c>
      <c r="K45" s="45"/>
      <c r="L45" s="6">
        <f>SUM(L46:L49)</f>
        <v>0.0888888</v>
      </c>
      <c r="M45" s="45"/>
      <c r="AI45" s="45"/>
      <c r="AS45" s="6">
        <f>SUM(AJ46:AJ49)</f>
        <v>0</v>
      </c>
      <c r="AT45" s="6">
        <f>SUM(AK46:AK49)</f>
        <v>0</v>
      </c>
      <c r="AU45" s="6">
        <f>SUM(AL46:AL49)</f>
        <v>0</v>
      </c>
    </row>
    <row r="46" spans="1:62" ht="12.75">
      <c r="A46" s="1" t="s">
        <v>30</v>
      </c>
      <c r="B46" s="1"/>
      <c r="C46" s="1" t="s">
        <v>101</v>
      </c>
      <c r="D46" s="1" t="s">
        <v>189</v>
      </c>
      <c r="E46" s="1" t="s">
        <v>242</v>
      </c>
      <c r="F46" s="3">
        <f>'Rozpočet - vybrané sloupce'!AR45</f>
        <v>16.28</v>
      </c>
      <c r="G46" s="3">
        <f>'Rozpočet - vybrané sloupce'!AW45</f>
        <v>0</v>
      </c>
      <c r="H46" s="3">
        <f>F46*AO46</f>
        <v>0</v>
      </c>
      <c r="I46" s="3">
        <f>F46*AP46</f>
        <v>0</v>
      </c>
      <c r="J46" s="3">
        <f>F46*G46</f>
        <v>0</v>
      </c>
      <c r="K46" s="3">
        <v>0</v>
      </c>
      <c r="L46" s="3">
        <f>F46*K46</f>
        <v>0</v>
      </c>
      <c r="M46" s="49" t="s">
        <v>320</v>
      </c>
      <c r="Z46" s="52">
        <f>IF(AQ46="5",BJ46,0)</f>
        <v>0</v>
      </c>
      <c r="AB46" s="52">
        <f>IF(AQ46="1",BH46,0)</f>
        <v>0</v>
      </c>
      <c r="AC46" s="52">
        <f>IF(AQ46="1",BI46,0)</f>
        <v>0</v>
      </c>
      <c r="AD46" s="52">
        <f>IF(AQ46="7",BH46,0)</f>
        <v>0</v>
      </c>
      <c r="AE46" s="52">
        <f>IF(AQ46="7",BI46,0)</f>
        <v>0</v>
      </c>
      <c r="AF46" s="52">
        <f>IF(AQ46="2",BH46,0)</f>
        <v>0</v>
      </c>
      <c r="AG46" s="52">
        <f>IF(AQ46="2",BI46,0)</f>
        <v>0</v>
      </c>
      <c r="AH46" s="52">
        <f>IF(AQ46="0",BJ46,0)</f>
        <v>0</v>
      </c>
      <c r="AI46" s="45"/>
      <c r="AJ46" s="3">
        <f>IF(AN46=0,J46,0)</f>
        <v>0</v>
      </c>
      <c r="AK46" s="3">
        <f>IF(AN46=15,J46,0)</f>
        <v>0</v>
      </c>
      <c r="AL46" s="3">
        <f>IF(AN46=21,J46,0)</f>
        <v>0</v>
      </c>
      <c r="AN46" s="52">
        <v>21</v>
      </c>
      <c r="AO46" s="52">
        <f>G46*0</f>
        <v>0</v>
      </c>
      <c r="AP46" s="52">
        <f>G46*(1-0)</f>
        <v>0</v>
      </c>
      <c r="AQ46" s="49" t="s">
        <v>13</v>
      </c>
      <c r="AV46" s="52">
        <f>AW46+AX46</f>
        <v>0</v>
      </c>
      <c r="AW46" s="52">
        <f>F46*AO46</f>
        <v>0</v>
      </c>
      <c r="AX46" s="52">
        <f>F46*AP46</f>
        <v>0</v>
      </c>
      <c r="AY46" s="53" t="s">
        <v>342</v>
      </c>
      <c r="AZ46" s="53" t="s">
        <v>364</v>
      </c>
      <c r="BA46" s="45" t="s">
        <v>368</v>
      </c>
      <c r="BC46" s="52">
        <f>AW46+AX46</f>
        <v>0</v>
      </c>
      <c r="BD46" s="52">
        <f>G46/(100-BE46)*100</f>
        <v>0</v>
      </c>
      <c r="BE46" s="52">
        <v>0</v>
      </c>
      <c r="BF46" s="52">
        <f>L46</f>
        <v>0</v>
      </c>
      <c r="BH46" s="3">
        <f>F46*AO46</f>
        <v>0</v>
      </c>
      <c r="BI46" s="3">
        <f>F46*AP46</f>
        <v>0</v>
      </c>
      <c r="BJ46" s="3">
        <f>F46*G46</f>
        <v>0</v>
      </c>
    </row>
    <row r="47" spans="1:62" ht="12.75">
      <c r="A47" s="1" t="s">
        <v>31</v>
      </c>
      <c r="B47" s="1"/>
      <c r="C47" s="1" t="s">
        <v>102</v>
      </c>
      <c r="D47" s="1" t="s">
        <v>190</v>
      </c>
      <c r="E47" s="1" t="s">
        <v>242</v>
      </c>
      <c r="F47" s="3">
        <f>'Rozpočet - vybrané sloupce'!AR46</f>
        <v>32.56</v>
      </c>
      <c r="G47" s="3">
        <f>'Rozpočet - vybrané sloupce'!AW46</f>
        <v>0</v>
      </c>
      <c r="H47" s="3">
        <f>F47*AO47</f>
        <v>0</v>
      </c>
      <c r="I47" s="3">
        <f>F47*AP47</f>
        <v>0</v>
      </c>
      <c r="J47" s="3">
        <f>F47*G47</f>
        <v>0</v>
      </c>
      <c r="K47" s="3">
        <v>0.00021</v>
      </c>
      <c r="L47" s="3">
        <f>F47*K47</f>
        <v>0.006837600000000001</v>
      </c>
      <c r="M47" s="49" t="s">
        <v>320</v>
      </c>
      <c r="Z47" s="52">
        <f>IF(AQ47="5",BJ47,0)</f>
        <v>0</v>
      </c>
      <c r="AB47" s="52">
        <f>IF(AQ47="1",BH47,0)</f>
        <v>0</v>
      </c>
      <c r="AC47" s="52">
        <f>IF(AQ47="1",BI47,0)</f>
        <v>0</v>
      </c>
      <c r="AD47" s="52">
        <f>IF(AQ47="7",BH47,0)</f>
        <v>0</v>
      </c>
      <c r="AE47" s="52">
        <f>IF(AQ47="7",BI47,0)</f>
        <v>0</v>
      </c>
      <c r="AF47" s="52">
        <f>IF(AQ47="2",BH47,0)</f>
        <v>0</v>
      </c>
      <c r="AG47" s="52">
        <f>IF(AQ47="2",BI47,0)</f>
        <v>0</v>
      </c>
      <c r="AH47" s="52">
        <f>IF(AQ47="0",BJ47,0)</f>
        <v>0</v>
      </c>
      <c r="AI47" s="45"/>
      <c r="AJ47" s="3">
        <f>IF(AN47=0,J47,0)</f>
        <v>0</v>
      </c>
      <c r="AK47" s="3">
        <f>IF(AN47=15,J47,0)</f>
        <v>0</v>
      </c>
      <c r="AL47" s="3">
        <f>IF(AN47=21,J47,0)</f>
        <v>0</v>
      </c>
      <c r="AN47" s="52">
        <v>21</v>
      </c>
      <c r="AO47" s="52">
        <f>G47*0.466666666666667</f>
        <v>0</v>
      </c>
      <c r="AP47" s="52">
        <f>G47*(1-0.466666666666667)</f>
        <v>0</v>
      </c>
      <c r="AQ47" s="49" t="s">
        <v>13</v>
      </c>
      <c r="AV47" s="52">
        <f>AW47+AX47</f>
        <v>0</v>
      </c>
      <c r="AW47" s="52">
        <f>F47*AO47</f>
        <v>0</v>
      </c>
      <c r="AX47" s="52">
        <f>F47*AP47</f>
        <v>0</v>
      </c>
      <c r="AY47" s="53" t="s">
        <v>342</v>
      </c>
      <c r="AZ47" s="53" t="s">
        <v>364</v>
      </c>
      <c r="BA47" s="45" t="s">
        <v>368</v>
      </c>
      <c r="BC47" s="52">
        <f>AW47+AX47</f>
        <v>0</v>
      </c>
      <c r="BD47" s="52">
        <f>G47/(100-BE47)*100</f>
        <v>0</v>
      </c>
      <c r="BE47" s="52">
        <v>0</v>
      </c>
      <c r="BF47" s="52">
        <f>L47</f>
        <v>0.006837600000000001</v>
      </c>
      <c r="BH47" s="3">
        <f>F47*AO47</f>
        <v>0</v>
      </c>
      <c r="BI47" s="3">
        <f>F47*AP47</f>
        <v>0</v>
      </c>
      <c r="BJ47" s="3">
        <f>F47*G47</f>
        <v>0</v>
      </c>
    </row>
    <row r="48" spans="1:62" ht="12.75">
      <c r="A48" s="1" t="s">
        <v>32</v>
      </c>
      <c r="B48" s="1"/>
      <c r="C48" s="1" t="s">
        <v>103</v>
      </c>
      <c r="D48" s="1" t="s">
        <v>191</v>
      </c>
      <c r="E48" s="1" t="s">
        <v>242</v>
      </c>
      <c r="F48" s="3">
        <f>'Rozpočet - vybrané sloupce'!AR47</f>
        <v>16.28</v>
      </c>
      <c r="G48" s="3">
        <f>'Rozpočet - vybrané sloupce'!AW47</f>
        <v>0</v>
      </c>
      <c r="H48" s="3">
        <f>F48*AO48</f>
        <v>0</v>
      </c>
      <c r="I48" s="3">
        <f>F48*AP48</f>
        <v>0</v>
      </c>
      <c r="J48" s="3">
        <f>F48*G48</f>
        <v>0</v>
      </c>
      <c r="K48" s="3">
        <v>0</v>
      </c>
      <c r="L48" s="3">
        <f>F48*K48</f>
        <v>0</v>
      </c>
      <c r="M48" s="49" t="s">
        <v>320</v>
      </c>
      <c r="Z48" s="52">
        <f>IF(AQ48="5",BJ48,0)</f>
        <v>0</v>
      </c>
      <c r="AB48" s="52">
        <f>IF(AQ48="1",BH48,0)</f>
        <v>0</v>
      </c>
      <c r="AC48" s="52">
        <f>IF(AQ48="1",BI48,0)</f>
        <v>0</v>
      </c>
      <c r="AD48" s="52">
        <f>IF(AQ48="7",BH48,0)</f>
        <v>0</v>
      </c>
      <c r="AE48" s="52">
        <f>IF(AQ48="7",BI48,0)</f>
        <v>0</v>
      </c>
      <c r="AF48" s="52">
        <f>IF(AQ48="2",BH48,0)</f>
        <v>0</v>
      </c>
      <c r="AG48" s="52">
        <f>IF(AQ48="2",BI48,0)</f>
        <v>0</v>
      </c>
      <c r="AH48" s="52">
        <f>IF(AQ48="0",BJ48,0)</f>
        <v>0</v>
      </c>
      <c r="AI48" s="45"/>
      <c r="AJ48" s="3">
        <f>IF(AN48=0,J48,0)</f>
        <v>0</v>
      </c>
      <c r="AK48" s="3">
        <f>IF(AN48=15,J48,0)</f>
        <v>0</v>
      </c>
      <c r="AL48" s="3">
        <f>IF(AN48=21,J48,0)</f>
        <v>0</v>
      </c>
      <c r="AN48" s="52">
        <v>21</v>
      </c>
      <c r="AO48" s="52">
        <f>G48*0</f>
        <v>0</v>
      </c>
      <c r="AP48" s="52">
        <f>G48*(1-0)</f>
        <v>0</v>
      </c>
      <c r="AQ48" s="49" t="s">
        <v>13</v>
      </c>
      <c r="AV48" s="52">
        <f>AW48+AX48</f>
        <v>0</v>
      </c>
      <c r="AW48" s="52">
        <f>F48*AO48</f>
        <v>0</v>
      </c>
      <c r="AX48" s="52">
        <f>F48*AP48</f>
        <v>0</v>
      </c>
      <c r="AY48" s="53" t="s">
        <v>342</v>
      </c>
      <c r="AZ48" s="53" t="s">
        <v>364</v>
      </c>
      <c r="BA48" s="45" t="s">
        <v>368</v>
      </c>
      <c r="BC48" s="52">
        <f>AW48+AX48</f>
        <v>0</v>
      </c>
      <c r="BD48" s="52">
        <f>G48/(100-BE48)*100</f>
        <v>0</v>
      </c>
      <c r="BE48" s="52">
        <v>0</v>
      </c>
      <c r="BF48" s="52">
        <f>L48</f>
        <v>0</v>
      </c>
      <c r="BH48" s="3">
        <f>F48*AO48</f>
        <v>0</v>
      </c>
      <c r="BI48" s="3">
        <f>F48*AP48</f>
        <v>0</v>
      </c>
      <c r="BJ48" s="3">
        <f>F48*G48</f>
        <v>0</v>
      </c>
    </row>
    <row r="49" spans="1:62" ht="12.75">
      <c r="A49" s="1" t="s">
        <v>33</v>
      </c>
      <c r="B49" s="1"/>
      <c r="C49" s="1" t="s">
        <v>104</v>
      </c>
      <c r="D49" s="1" t="s">
        <v>192</v>
      </c>
      <c r="E49" s="1" t="s">
        <v>242</v>
      </c>
      <c r="F49" s="3">
        <f>'Rozpočet - vybrané sloupce'!AR48</f>
        <v>16.28</v>
      </c>
      <c r="G49" s="3">
        <f>'Rozpočet - vybrané sloupce'!AW48</f>
        <v>0</v>
      </c>
      <c r="H49" s="3">
        <f>F49*AO49</f>
        <v>0</v>
      </c>
      <c r="I49" s="3">
        <f>F49*AP49</f>
        <v>0</v>
      </c>
      <c r="J49" s="3">
        <f>F49*G49</f>
        <v>0</v>
      </c>
      <c r="K49" s="3">
        <v>0.00504</v>
      </c>
      <c r="L49" s="3">
        <f>F49*K49</f>
        <v>0.0820512</v>
      </c>
      <c r="M49" s="49" t="s">
        <v>320</v>
      </c>
      <c r="Z49" s="52">
        <f>IF(AQ49="5",BJ49,0)</f>
        <v>0</v>
      </c>
      <c r="AB49" s="52">
        <f>IF(AQ49="1",BH49,0)</f>
        <v>0</v>
      </c>
      <c r="AC49" s="52">
        <f>IF(AQ49="1",BI49,0)</f>
        <v>0</v>
      </c>
      <c r="AD49" s="52">
        <f>IF(AQ49="7",BH49,0)</f>
        <v>0</v>
      </c>
      <c r="AE49" s="52">
        <f>IF(AQ49="7",BI49,0)</f>
        <v>0</v>
      </c>
      <c r="AF49" s="52">
        <f>IF(AQ49="2",BH49,0)</f>
        <v>0</v>
      </c>
      <c r="AG49" s="52">
        <f>IF(AQ49="2",BI49,0)</f>
        <v>0</v>
      </c>
      <c r="AH49" s="52">
        <f>IF(AQ49="0",BJ49,0)</f>
        <v>0</v>
      </c>
      <c r="AI49" s="45"/>
      <c r="AJ49" s="3">
        <f>IF(AN49=0,J49,0)</f>
        <v>0</v>
      </c>
      <c r="AK49" s="3">
        <f>IF(AN49=15,J49,0)</f>
        <v>0</v>
      </c>
      <c r="AL49" s="3">
        <f>IF(AN49=21,J49,0)</f>
        <v>0</v>
      </c>
      <c r="AN49" s="52">
        <v>21</v>
      </c>
      <c r="AO49" s="52">
        <f>G49*0.173321976149915</f>
        <v>0</v>
      </c>
      <c r="AP49" s="52">
        <f>G49*(1-0.173321976149915)</f>
        <v>0</v>
      </c>
      <c r="AQ49" s="49" t="s">
        <v>13</v>
      </c>
      <c r="AV49" s="52">
        <f>AW49+AX49</f>
        <v>0</v>
      </c>
      <c r="AW49" s="52">
        <f>F49*AO49</f>
        <v>0</v>
      </c>
      <c r="AX49" s="52">
        <f>F49*AP49</f>
        <v>0</v>
      </c>
      <c r="AY49" s="53" t="s">
        <v>342</v>
      </c>
      <c r="AZ49" s="53" t="s">
        <v>364</v>
      </c>
      <c r="BA49" s="45" t="s">
        <v>368</v>
      </c>
      <c r="BC49" s="52">
        <f>AW49+AX49</f>
        <v>0</v>
      </c>
      <c r="BD49" s="52">
        <f>G49/(100-BE49)*100</f>
        <v>0</v>
      </c>
      <c r="BE49" s="52">
        <v>0</v>
      </c>
      <c r="BF49" s="52">
        <f>L49</f>
        <v>0.0820512</v>
      </c>
      <c r="BH49" s="3">
        <f>F49*AO49</f>
        <v>0</v>
      </c>
      <c r="BI49" s="3">
        <f>F49*AP49</f>
        <v>0</v>
      </c>
      <c r="BJ49" s="3">
        <f>F49*G49</f>
        <v>0</v>
      </c>
    </row>
    <row r="50" spans="1:47" ht="12.75">
      <c r="A50" s="30"/>
      <c r="B50" s="36"/>
      <c r="C50" s="36" t="s">
        <v>105</v>
      </c>
      <c r="D50" s="36" t="s">
        <v>193</v>
      </c>
      <c r="E50" s="30" t="s">
        <v>6</v>
      </c>
      <c r="F50" s="30" t="s">
        <v>6</v>
      </c>
      <c r="G50" s="30" t="s">
        <v>6</v>
      </c>
      <c r="H50" s="6">
        <f>SUM(H51:H53)</f>
        <v>0</v>
      </c>
      <c r="I50" s="6">
        <f>SUM(I51:I53)</f>
        <v>0</v>
      </c>
      <c r="J50" s="6">
        <f>SUM(J51:J53)</f>
        <v>0</v>
      </c>
      <c r="K50" s="45"/>
      <c r="L50" s="6">
        <f>SUM(L51:L53)</f>
        <v>0.38805780000000006</v>
      </c>
      <c r="M50" s="45"/>
      <c r="AI50" s="45"/>
      <c r="AS50" s="6">
        <f>SUM(AJ51:AJ53)</f>
        <v>0</v>
      </c>
      <c r="AT50" s="6">
        <f>SUM(AK51:AK53)</f>
        <v>0</v>
      </c>
      <c r="AU50" s="6">
        <f>SUM(AL51:AL53)</f>
        <v>0</v>
      </c>
    </row>
    <row r="51" spans="1:62" ht="12.75">
      <c r="A51" s="1" t="s">
        <v>34</v>
      </c>
      <c r="B51" s="1"/>
      <c r="C51" s="1" t="s">
        <v>106</v>
      </c>
      <c r="D51" s="1" t="s">
        <v>194</v>
      </c>
      <c r="E51" s="1" t="s">
        <v>242</v>
      </c>
      <c r="F51" s="3">
        <f>'Rozpočet - vybrané sloupce'!AR50</f>
        <v>76.54</v>
      </c>
      <c r="G51" s="3">
        <f>'Rozpočet - vybrané sloupce'!AW50</f>
        <v>0</v>
      </c>
      <c r="H51" s="3">
        <f>F51*AO51</f>
        <v>0</v>
      </c>
      <c r="I51" s="3">
        <f>F51*AP51</f>
        <v>0</v>
      </c>
      <c r="J51" s="3">
        <f>F51*G51</f>
        <v>0</v>
      </c>
      <c r="K51" s="3">
        <v>0</v>
      </c>
      <c r="L51" s="3">
        <f>F51*K51</f>
        <v>0</v>
      </c>
      <c r="M51" s="49" t="s">
        <v>320</v>
      </c>
      <c r="Z51" s="52">
        <f>IF(AQ51="5",BJ51,0)</f>
        <v>0</v>
      </c>
      <c r="AB51" s="52">
        <f>IF(AQ51="1",BH51,0)</f>
        <v>0</v>
      </c>
      <c r="AC51" s="52">
        <f>IF(AQ51="1",BI51,0)</f>
        <v>0</v>
      </c>
      <c r="AD51" s="52">
        <f>IF(AQ51="7",BH51,0)</f>
        <v>0</v>
      </c>
      <c r="AE51" s="52">
        <f>IF(AQ51="7",BI51,0)</f>
        <v>0</v>
      </c>
      <c r="AF51" s="52">
        <f>IF(AQ51="2",BH51,0)</f>
        <v>0</v>
      </c>
      <c r="AG51" s="52">
        <f>IF(AQ51="2",BI51,0)</f>
        <v>0</v>
      </c>
      <c r="AH51" s="52">
        <f>IF(AQ51="0",BJ51,0)</f>
        <v>0</v>
      </c>
      <c r="AI51" s="45"/>
      <c r="AJ51" s="3">
        <f>IF(AN51=0,J51,0)</f>
        <v>0</v>
      </c>
      <c r="AK51" s="3">
        <f>IF(AN51=15,J51,0)</f>
        <v>0</v>
      </c>
      <c r="AL51" s="3">
        <f>IF(AN51=21,J51,0)</f>
        <v>0</v>
      </c>
      <c r="AN51" s="52">
        <v>21</v>
      </c>
      <c r="AO51" s="52">
        <f>G51*0</f>
        <v>0</v>
      </c>
      <c r="AP51" s="52">
        <f>G51*(1-0)</f>
        <v>0</v>
      </c>
      <c r="AQ51" s="49" t="s">
        <v>13</v>
      </c>
      <c r="AV51" s="52">
        <f>AW51+AX51</f>
        <v>0</v>
      </c>
      <c r="AW51" s="52">
        <f>F51*AO51</f>
        <v>0</v>
      </c>
      <c r="AX51" s="52">
        <f>F51*AP51</f>
        <v>0</v>
      </c>
      <c r="AY51" s="53" t="s">
        <v>343</v>
      </c>
      <c r="AZ51" s="53" t="s">
        <v>365</v>
      </c>
      <c r="BA51" s="45" t="s">
        <v>368</v>
      </c>
      <c r="BC51" s="52">
        <f>AW51+AX51</f>
        <v>0</v>
      </c>
      <c r="BD51" s="52">
        <f>G51/(100-BE51)*100</f>
        <v>0</v>
      </c>
      <c r="BE51" s="52">
        <v>0</v>
      </c>
      <c r="BF51" s="52">
        <f>L51</f>
        <v>0</v>
      </c>
      <c r="BH51" s="3">
        <f>F51*AO51</f>
        <v>0</v>
      </c>
      <c r="BI51" s="3">
        <f>F51*AP51</f>
        <v>0</v>
      </c>
      <c r="BJ51" s="3">
        <f>F51*G51</f>
        <v>0</v>
      </c>
    </row>
    <row r="52" spans="1:62" ht="12.75">
      <c r="A52" s="1" t="s">
        <v>35</v>
      </c>
      <c r="B52" s="1"/>
      <c r="C52" s="1" t="s">
        <v>107</v>
      </c>
      <c r="D52" s="1" t="s">
        <v>195</v>
      </c>
      <c r="E52" s="1" t="s">
        <v>242</v>
      </c>
      <c r="F52" s="3">
        <f>'Rozpočet - vybrané sloupce'!AR51</f>
        <v>76.54</v>
      </c>
      <c r="G52" s="3">
        <f>'Rozpočet - vybrané sloupce'!AW51</f>
        <v>0</v>
      </c>
      <c r="H52" s="3">
        <f>F52*AO52</f>
        <v>0</v>
      </c>
      <c r="I52" s="3">
        <f>F52*AP52</f>
        <v>0</v>
      </c>
      <c r="J52" s="3">
        <f>F52*G52</f>
        <v>0</v>
      </c>
      <c r="K52" s="3">
        <v>0.00016</v>
      </c>
      <c r="L52" s="3">
        <f>F52*K52</f>
        <v>0.012246400000000003</v>
      </c>
      <c r="M52" s="49" t="s">
        <v>320</v>
      </c>
      <c r="Z52" s="52">
        <f>IF(AQ52="5",BJ52,0)</f>
        <v>0</v>
      </c>
      <c r="AB52" s="52">
        <f>IF(AQ52="1",BH52,0)</f>
        <v>0</v>
      </c>
      <c r="AC52" s="52">
        <f>IF(AQ52="1",BI52,0)</f>
        <v>0</v>
      </c>
      <c r="AD52" s="52">
        <f>IF(AQ52="7",BH52,0)</f>
        <v>0</v>
      </c>
      <c r="AE52" s="52">
        <f>IF(AQ52="7",BI52,0)</f>
        <v>0</v>
      </c>
      <c r="AF52" s="52">
        <f>IF(AQ52="2",BH52,0)</f>
        <v>0</v>
      </c>
      <c r="AG52" s="52">
        <f>IF(AQ52="2",BI52,0)</f>
        <v>0</v>
      </c>
      <c r="AH52" s="52">
        <f>IF(AQ52="0",BJ52,0)</f>
        <v>0</v>
      </c>
      <c r="AI52" s="45"/>
      <c r="AJ52" s="3">
        <f>IF(AN52=0,J52,0)</f>
        <v>0</v>
      </c>
      <c r="AK52" s="3">
        <f>IF(AN52=15,J52,0)</f>
        <v>0</v>
      </c>
      <c r="AL52" s="3">
        <f>IF(AN52=21,J52,0)</f>
        <v>0</v>
      </c>
      <c r="AN52" s="52">
        <v>21</v>
      </c>
      <c r="AO52" s="52">
        <f>G52*0.396594178250932</f>
        <v>0</v>
      </c>
      <c r="AP52" s="52">
        <f>G52*(1-0.396594178250932)</f>
        <v>0</v>
      </c>
      <c r="AQ52" s="49" t="s">
        <v>13</v>
      </c>
      <c r="AV52" s="52">
        <f>AW52+AX52</f>
        <v>0</v>
      </c>
      <c r="AW52" s="52">
        <f>F52*AO52</f>
        <v>0</v>
      </c>
      <c r="AX52" s="52">
        <f>F52*AP52</f>
        <v>0</v>
      </c>
      <c r="AY52" s="53" t="s">
        <v>343</v>
      </c>
      <c r="AZ52" s="53" t="s">
        <v>365</v>
      </c>
      <c r="BA52" s="45" t="s">
        <v>368</v>
      </c>
      <c r="BC52" s="52">
        <f>AW52+AX52</f>
        <v>0</v>
      </c>
      <c r="BD52" s="52">
        <f>G52/(100-BE52)*100</f>
        <v>0</v>
      </c>
      <c r="BE52" s="52">
        <v>0</v>
      </c>
      <c r="BF52" s="52">
        <f>L52</f>
        <v>0.012246400000000003</v>
      </c>
      <c r="BH52" s="3">
        <f>F52*AO52</f>
        <v>0</v>
      </c>
      <c r="BI52" s="3">
        <f>F52*AP52</f>
        <v>0</v>
      </c>
      <c r="BJ52" s="3">
        <f>F52*G52</f>
        <v>0</v>
      </c>
    </row>
    <row r="53" spans="1:62" ht="12.75">
      <c r="A53" s="1" t="s">
        <v>36</v>
      </c>
      <c r="B53" s="1"/>
      <c r="C53" s="1" t="s">
        <v>108</v>
      </c>
      <c r="D53" s="1" t="s">
        <v>196</v>
      </c>
      <c r="E53" s="1" t="s">
        <v>242</v>
      </c>
      <c r="F53" s="3">
        <f>'Rozpočet - vybrané sloupce'!AR52</f>
        <v>76.54</v>
      </c>
      <c r="G53" s="3">
        <f>'Rozpočet - vybrané sloupce'!AW52</f>
        <v>0</v>
      </c>
      <c r="H53" s="3">
        <f>F53*AO53</f>
        <v>0</v>
      </c>
      <c r="I53" s="3">
        <f>F53*AP53</f>
        <v>0</v>
      </c>
      <c r="J53" s="3">
        <f>F53*G53</f>
        <v>0</v>
      </c>
      <c r="K53" s="3">
        <v>0.00491</v>
      </c>
      <c r="L53" s="3">
        <f>F53*K53</f>
        <v>0.3758114000000001</v>
      </c>
      <c r="M53" s="49" t="s">
        <v>320</v>
      </c>
      <c r="Z53" s="52">
        <f>IF(AQ53="5",BJ53,0)</f>
        <v>0</v>
      </c>
      <c r="AB53" s="52">
        <f>IF(AQ53="1",BH53,0)</f>
        <v>0</v>
      </c>
      <c r="AC53" s="52">
        <f>IF(AQ53="1",BI53,0)</f>
        <v>0</v>
      </c>
      <c r="AD53" s="52">
        <f>IF(AQ53="7",BH53,0)</f>
        <v>0</v>
      </c>
      <c r="AE53" s="52">
        <f>IF(AQ53="7",BI53,0)</f>
        <v>0</v>
      </c>
      <c r="AF53" s="52">
        <f>IF(AQ53="2",BH53,0)</f>
        <v>0</v>
      </c>
      <c r="AG53" s="52">
        <f>IF(AQ53="2",BI53,0)</f>
        <v>0</v>
      </c>
      <c r="AH53" s="52">
        <f>IF(AQ53="0",BJ53,0)</f>
        <v>0</v>
      </c>
      <c r="AI53" s="45"/>
      <c r="AJ53" s="3">
        <f>IF(AN53=0,J53,0)</f>
        <v>0</v>
      </c>
      <c r="AK53" s="3">
        <f>IF(AN53=15,J53,0)</f>
        <v>0</v>
      </c>
      <c r="AL53" s="3">
        <f>IF(AN53=21,J53,0)</f>
        <v>0</v>
      </c>
      <c r="AN53" s="52">
        <v>21</v>
      </c>
      <c r="AO53" s="52">
        <f>G53*0.137764505119454</f>
        <v>0</v>
      </c>
      <c r="AP53" s="52">
        <f>G53*(1-0.137764505119454)</f>
        <v>0</v>
      </c>
      <c r="AQ53" s="49" t="s">
        <v>13</v>
      </c>
      <c r="AV53" s="52">
        <f>AW53+AX53</f>
        <v>0</v>
      </c>
      <c r="AW53" s="52">
        <f>F53*AO53</f>
        <v>0</v>
      </c>
      <c r="AX53" s="52">
        <f>F53*AP53</f>
        <v>0</v>
      </c>
      <c r="AY53" s="53" t="s">
        <v>343</v>
      </c>
      <c r="AZ53" s="53" t="s">
        <v>365</v>
      </c>
      <c r="BA53" s="45" t="s">
        <v>368</v>
      </c>
      <c r="BC53" s="52">
        <f>AW53+AX53</f>
        <v>0</v>
      </c>
      <c r="BD53" s="52">
        <f>G53/(100-BE53)*100</f>
        <v>0</v>
      </c>
      <c r="BE53" s="52">
        <v>0</v>
      </c>
      <c r="BF53" s="52">
        <f>L53</f>
        <v>0.3758114000000001</v>
      </c>
      <c r="BH53" s="3">
        <f>F53*AO53</f>
        <v>0</v>
      </c>
      <c r="BI53" s="3">
        <f>F53*AP53</f>
        <v>0</v>
      </c>
      <c r="BJ53" s="3">
        <f>F53*G53</f>
        <v>0</v>
      </c>
    </row>
    <row r="54" spans="1:47" ht="12.75">
      <c r="A54" s="30"/>
      <c r="B54" s="36"/>
      <c r="C54" s="36" t="s">
        <v>109</v>
      </c>
      <c r="D54" s="36" t="s">
        <v>197</v>
      </c>
      <c r="E54" s="30" t="s">
        <v>6</v>
      </c>
      <c r="F54" s="30" t="s">
        <v>6</v>
      </c>
      <c r="G54" s="30" t="s">
        <v>6</v>
      </c>
      <c r="H54" s="6">
        <f>SUM(H55:H55)</f>
        <v>0</v>
      </c>
      <c r="I54" s="6">
        <f>SUM(I55:I55)</f>
        <v>0</v>
      </c>
      <c r="J54" s="6">
        <f>SUM(J55:J55)</f>
        <v>0</v>
      </c>
      <c r="K54" s="45"/>
      <c r="L54" s="6">
        <f>SUM(L55:L55)</f>
        <v>0.00041</v>
      </c>
      <c r="M54" s="45"/>
      <c r="AI54" s="45"/>
      <c r="AS54" s="6">
        <f>SUM(AJ55:AJ55)</f>
        <v>0</v>
      </c>
      <c r="AT54" s="6">
        <f>SUM(AK55:AK55)</f>
        <v>0</v>
      </c>
      <c r="AU54" s="6">
        <f>SUM(AL55:AL55)</f>
        <v>0</v>
      </c>
    </row>
    <row r="55" spans="1:62" ht="12.75">
      <c r="A55" s="1" t="s">
        <v>37</v>
      </c>
      <c r="B55" s="1"/>
      <c r="C55" s="1" t="s">
        <v>110</v>
      </c>
      <c r="D55" s="1" t="s">
        <v>198</v>
      </c>
      <c r="E55" s="1" t="s">
        <v>245</v>
      </c>
      <c r="F55" s="3">
        <f>'Rozpočet - vybrané sloupce'!AR54</f>
        <v>1</v>
      </c>
      <c r="G55" s="3">
        <f>'Rozpočet - vybrané sloupce'!AW54</f>
        <v>0</v>
      </c>
      <c r="H55" s="3">
        <f>F55*AO55</f>
        <v>0</v>
      </c>
      <c r="I55" s="3">
        <f>F55*AP55</f>
        <v>0</v>
      </c>
      <c r="J55" s="3">
        <f>F55*G55</f>
        <v>0</v>
      </c>
      <c r="K55" s="3">
        <v>0.00041</v>
      </c>
      <c r="L55" s="3">
        <f>F55*K55</f>
        <v>0.00041</v>
      </c>
      <c r="M55" s="49" t="s">
        <v>320</v>
      </c>
      <c r="Z55" s="52">
        <f>IF(AQ55="5",BJ55,0)</f>
        <v>0</v>
      </c>
      <c r="AB55" s="52">
        <f>IF(AQ55="1",BH55,0)</f>
        <v>0</v>
      </c>
      <c r="AC55" s="52">
        <f>IF(AQ55="1",BI55,0)</f>
        <v>0</v>
      </c>
      <c r="AD55" s="52">
        <f>IF(AQ55="7",BH55,0)</f>
        <v>0</v>
      </c>
      <c r="AE55" s="52">
        <f>IF(AQ55="7",BI55,0)</f>
        <v>0</v>
      </c>
      <c r="AF55" s="52">
        <f>IF(AQ55="2",BH55,0)</f>
        <v>0</v>
      </c>
      <c r="AG55" s="52">
        <f>IF(AQ55="2",BI55,0)</f>
        <v>0</v>
      </c>
      <c r="AH55" s="52">
        <f>IF(AQ55="0",BJ55,0)</f>
        <v>0</v>
      </c>
      <c r="AI55" s="45"/>
      <c r="AJ55" s="3">
        <f>IF(AN55=0,J55,0)</f>
        <v>0</v>
      </c>
      <c r="AK55" s="3">
        <f>IF(AN55=15,J55,0)</f>
        <v>0</v>
      </c>
      <c r="AL55" s="3">
        <f>IF(AN55=21,J55,0)</f>
        <v>0</v>
      </c>
      <c r="AN55" s="52">
        <v>21</v>
      </c>
      <c r="AO55" s="52">
        <f>G55*0.478142857142857</f>
        <v>0</v>
      </c>
      <c r="AP55" s="52">
        <f>G55*(1-0.478142857142857)</f>
        <v>0</v>
      </c>
      <c r="AQ55" s="49" t="s">
        <v>13</v>
      </c>
      <c r="AV55" s="52">
        <f>AW55+AX55</f>
        <v>0</v>
      </c>
      <c r="AW55" s="52">
        <f>F55*AO55</f>
        <v>0</v>
      </c>
      <c r="AX55" s="52">
        <f>F55*AP55</f>
        <v>0</v>
      </c>
      <c r="AY55" s="53" t="s">
        <v>344</v>
      </c>
      <c r="AZ55" s="53" t="s">
        <v>365</v>
      </c>
      <c r="BA55" s="45" t="s">
        <v>368</v>
      </c>
      <c r="BC55" s="52">
        <f>AW55+AX55</f>
        <v>0</v>
      </c>
      <c r="BD55" s="52">
        <f>G55/(100-BE55)*100</f>
        <v>0</v>
      </c>
      <c r="BE55" s="52">
        <v>0</v>
      </c>
      <c r="BF55" s="52">
        <f>L55</f>
        <v>0.00041</v>
      </c>
      <c r="BH55" s="3">
        <f>F55*AO55</f>
        <v>0</v>
      </c>
      <c r="BI55" s="3">
        <f>F55*AP55</f>
        <v>0</v>
      </c>
      <c r="BJ55" s="3">
        <f>F55*G55</f>
        <v>0</v>
      </c>
    </row>
    <row r="56" spans="1:47" ht="12.75">
      <c r="A56" s="30"/>
      <c r="B56" s="36"/>
      <c r="C56" s="36" t="s">
        <v>111</v>
      </c>
      <c r="D56" s="36" t="s">
        <v>199</v>
      </c>
      <c r="E56" s="30" t="s">
        <v>6</v>
      </c>
      <c r="F56" s="30" t="s">
        <v>6</v>
      </c>
      <c r="G56" s="30" t="s">
        <v>6</v>
      </c>
      <c r="H56" s="6">
        <f>SUM(H57:H60)</f>
        <v>0</v>
      </c>
      <c r="I56" s="6">
        <f>SUM(I57:I60)</f>
        <v>0</v>
      </c>
      <c r="J56" s="6">
        <f>SUM(J57:J60)</f>
        <v>0</v>
      </c>
      <c r="K56" s="45"/>
      <c r="L56" s="6">
        <f>SUM(L57:L60)</f>
        <v>0.027052479999999997</v>
      </c>
      <c r="M56" s="45"/>
      <c r="AI56" s="45"/>
      <c r="AS56" s="6">
        <f>SUM(AJ57:AJ60)</f>
        <v>0</v>
      </c>
      <c r="AT56" s="6">
        <f>SUM(AK57:AK60)</f>
        <v>0</v>
      </c>
      <c r="AU56" s="6">
        <f>SUM(AL57:AL60)</f>
        <v>0</v>
      </c>
    </row>
    <row r="57" spans="1:62" ht="12.75">
      <c r="A57" s="1" t="s">
        <v>38</v>
      </c>
      <c r="B57" s="1"/>
      <c r="C57" s="1" t="s">
        <v>112</v>
      </c>
      <c r="D57" s="1" t="s">
        <v>200</v>
      </c>
      <c r="E57" s="1" t="s">
        <v>242</v>
      </c>
      <c r="F57" s="3">
        <f>'Rozpočet - vybrané sloupce'!AR56</f>
        <v>33.18</v>
      </c>
      <c r="G57" s="3">
        <f>'Rozpočet - vybrané sloupce'!AW56</f>
        <v>0</v>
      </c>
      <c r="H57" s="3">
        <f>F57*AO57</f>
        <v>0</v>
      </c>
      <c r="I57" s="3">
        <f>F57*AP57</f>
        <v>0</v>
      </c>
      <c r="J57" s="3">
        <f>F57*G57</f>
        <v>0</v>
      </c>
      <c r="K57" s="3">
        <v>0</v>
      </c>
      <c r="L57" s="3">
        <f>F57*K57</f>
        <v>0</v>
      </c>
      <c r="M57" s="49" t="s">
        <v>320</v>
      </c>
      <c r="Z57" s="52">
        <f>IF(AQ57="5",BJ57,0)</f>
        <v>0</v>
      </c>
      <c r="AB57" s="52">
        <f>IF(AQ57="1",BH57,0)</f>
        <v>0</v>
      </c>
      <c r="AC57" s="52">
        <f>IF(AQ57="1",BI57,0)</f>
        <v>0</v>
      </c>
      <c r="AD57" s="52">
        <f>IF(AQ57="7",BH57,0)</f>
        <v>0</v>
      </c>
      <c r="AE57" s="52">
        <f>IF(AQ57="7",BI57,0)</f>
        <v>0</v>
      </c>
      <c r="AF57" s="52">
        <f>IF(AQ57="2",BH57,0)</f>
        <v>0</v>
      </c>
      <c r="AG57" s="52">
        <f>IF(AQ57="2",BI57,0)</f>
        <v>0</v>
      </c>
      <c r="AH57" s="52">
        <f>IF(AQ57="0",BJ57,0)</f>
        <v>0</v>
      </c>
      <c r="AI57" s="45"/>
      <c r="AJ57" s="3">
        <f>IF(AN57=0,J57,0)</f>
        <v>0</v>
      </c>
      <c r="AK57" s="3">
        <f>IF(AN57=15,J57,0)</f>
        <v>0</v>
      </c>
      <c r="AL57" s="3">
        <f>IF(AN57=21,J57,0)</f>
        <v>0</v>
      </c>
      <c r="AN57" s="52">
        <v>21</v>
      </c>
      <c r="AO57" s="52">
        <f>G57*0.00271002168961167</f>
        <v>0</v>
      </c>
      <c r="AP57" s="52">
        <f>G57*(1-0.00271002168961167)</f>
        <v>0</v>
      </c>
      <c r="AQ57" s="49" t="s">
        <v>13</v>
      </c>
      <c r="AV57" s="52">
        <f>AW57+AX57</f>
        <v>0</v>
      </c>
      <c r="AW57" s="52">
        <f>F57*AO57</f>
        <v>0</v>
      </c>
      <c r="AX57" s="52">
        <f>F57*AP57</f>
        <v>0</v>
      </c>
      <c r="AY57" s="53" t="s">
        <v>345</v>
      </c>
      <c r="AZ57" s="53" t="s">
        <v>365</v>
      </c>
      <c r="BA57" s="45" t="s">
        <v>368</v>
      </c>
      <c r="BC57" s="52">
        <f>AW57+AX57</f>
        <v>0</v>
      </c>
      <c r="BD57" s="52">
        <f>G57/(100-BE57)*100</f>
        <v>0</v>
      </c>
      <c r="BE57" s="52">
        <v>0</v>
      </c>
      <c r="BF57" s="52">
        <f>L57</f>
        <v>0</v>
      </c>
      <c r="BH57" s="3">
        <f>F57*AO57</f>
        <v>0</v>
      </c>
      <c r="BI57" s="3">
        <f>F57*AP57</f>
        <v>0</v>
      </c>
      <c r="BJ57" s="3">
        <f>F57*G57</f>
        <v>0</v>
      </c>
    </row>
    <row r="58" spans="1:62" ht="12.75">
      <c r="A58" s="1" t="s">
        <v>39</v>
      </c>
      <c r="B58" s="1"/>
      <c r="C58" s="1" t="s">
        <v>113</v>
      </c>
      <c r="D58" s="1" t="s">
        <v>201</v>
      </c>
      <c r="E58" s="1" t="s">
        <v>242</v>
      </c>
      <c r="F58" s="3">
        <f>'Rozpočet - vybrané sloupce'!AR57</f>
        <v>47.744</v>
      </c>
      <c r="G58" s="3">
        <f>'Rozpočet - vybrané sloupce'!AW57</f>
        <v>0</v>
      </c>
      <c r="H58" s="3">
        <f>F58*AO58</f>
        <v>0</v>
      </c>
      <c r="I58" s="3">
        <f>F58*AP58</f>
        <v>0</v>
      </c>
      <c r="J58" s="3">
        <f>F58*G58</f>
        <v>0</v>
      </c>
      <c r="K58" s="3">
        <v>0.0002</v>
      </c>
      <c r="L58" s="3">
        <f>F58*K58</f>
        <v>0.0095488</v>
      </c>
      <c r="M58" s="49" t="s">
        <v>320</v>
      </c>
      <c r="Z58" s="52">
        <f>IF(AQ58="5",BJ58,0)</f>
        <v>0</v>
      </c>
      <c r="AB58" s="52">
        <f>IF(AQ58="1",BH58,0)</f>
        <v>0</v>
      </c>
      <c r="AC58" s="52">
        <f>IF(AQ58="1",BI58,0)</f>
        <v>0</v>
      </c>
      <c r="AD58" s="52">
        <f>IF(AQ58="7",BH58,0)</f>
        <v>0</v>
      </c>
      <c r="AE58" s="52">
        <f>IF(AQ58="7",BI58,0)</f>
        <v>0</v>
      </c>
      <c r="AF58" s="52">
        <f>IF(AQ58="2",BH58,0)</f>
        <v>0</v>
      </c>
      <c r="AG58" s="52">
        <f>IF(AQ58="2",BI58,0)</f>
        <v>0</v>
      </c>
      <c r="AH58" s="52">
        <f>IF(AQ58="0",BJ58,0)</f>
        <v>0</v>
      </c>
      <c r="AI58" s="45"/>
      <c r="AJ58" s="3">
        <f>IF(AN58=0,J58,0)</f>
        <v>0</v>
      </c>
      <c r="AK58" s="3">
        <f>IF(AN58=15,J58,0)</f>
        <v>0</v>
      </c>
      <c r="AL58" s="3">
        <f>IF(AN58=21,J58,0)</f>
        <v>0</v>
      </c>
      <c r="AN58" s="52">
        <v>21</v>
      </c>
      <c r="AO58" s="52">
        <f>G58*0.402945458381686</f>
        <v>0</v>
      </c>
      <c r="AP58" s="52">
        <f>G58*(1-0.402945458381686)</f>
        <v>0</v>
      </c>
      <c r="AQ58" s="49" t="s">
        <v>13</v>
      </c>
      <c r="AV58" s="52">
        <f>AW58+AX58</f>
        <v>0</v>
      </c>
      <c r="AW58" s="52">
        <f>F58*AO58</f>
        <v>0</v>
      </c>
      <c r="AX58" s="52">
        <f>F58*AP58</f>
        <v>0</v>
      </c>
      <c r="AY58" s="53" t="s">
        <v>345</v>
      </c>
      <c r="AZ58" s="53" t="s">
        <v>365</v>
      </c>
      <c r="BA58" s="45" t="s">
        <v>368</v>
      </c>
      <c r="BC58" s="52">
        <f>AW58+AX58</f>
        <v>0</v>
      </c>
      <c r="BD58" s="52">
        <f>G58/(100-BE58)*100</f>
        <v>0</v>
      </c>
      <c r="BE58" s="52">
        <v>0</v>
      </c>
      <c r="BF58" s="52">
        <f>L58</f>
        <v>0.0095488</v>
      </c>
      <c r="BH58" s="3">
        <f>F58*AO58</f>
        <v>0</v>
      </c>
      <c r="BI58" s="3">
        <f>F58*AP58</f>
        <v>0</v>
      </c>
      <c r="BJ58" s="3">
        <f>F58*G58</f>
        <v>0</v>
      </c>
    </row>
    <row r="59" spans="1:62" ht="12.75">
      <c r="A59" s="1" t="s">
        <v>40</v>
      </c>
      <c r="B59" s="1"/>
      <c r="C59" s="1" t="s">
        <v>114</v>
      </c>
      <c r="D59" s="1" t="s">
        <v>202</v>
      </c>
      <c r="E59" s="1" t="s">
        <v>242</v>
      </c>
      <c r="F59" s="3">
        <f>'Rozpočet - vybrané sloupce'!AR58</f>
        <v>47.744</v>
      </c>
      <c r="G59" s="3">
        <f>'Rozpočet - vybrané sloupce'!AW58</f>
        <v>0</v>
      </c>
      <c r="H59" s="3">
        <f>F59*AO59</f>
        <v>0</v>
      </c>
      <c r="I59" s="3">
        <f>F59*AP59</f>
        <v>0</v>
      </c>
      <c r="J59" s="3">
        <f>F59*G59</f>
        <v>0</v>
      </c>
      <c r="K59" s="3">
        <v>0.00022</v>
      </c>
      <c r="L59" s="3">
        <f>F59*K59</f>
        <v>0.01050368</v>
      </c>
      <c r="M59" s="49" t="s">
        <v>320</v>
      </c>
      <c r="Z59" s="52">
        <f>IF(AQ59="5",BJ59,0)</f>
        <v>0</v>
      </c>
      <c r="AB59" s="52">
        <f>IF(AQ59="1",BH59,0)</f>
        <v>0</v>
      </c>
      <c r="AC59" s="52">
        <f>IF(AQ59="1",BI59,0)</f>
        <v>0</v>
      </c>
      <c r="AD59" s="52">
        <f>IF(AQ59="7",BH59,0)</f>
        <v>0</v>
      </c>
      <c r="AE59" s="52">
        <f>IF(AQ59="7",BI59,0)</f>
        <v>0</v>
      </c>
      <c r="AF59" s="52">
        <f>IF(AQ59="2",BH59,0)</f>
        <v>0</v>
      </c>
      <c r="AG59" s="52">
        <f>IF(AQ59="2",BI59,0)</f>
        <v>0</v>
      </c>
      <c r="AH59" s="52">
        <f>IF(AQ59="0",BJ59,0)</f>
        <v>0</v>
      </c>
      <c r="AI59" s="45"/>
      <c r="AJ59" s="3">
        <f>IF(AN59=0,J59,0)</f>
        <v>0</v>
      </c>
      <c r="AK59" s="3">
        <f>IF(AN59=15,J59,0)</f>
        <v>0</v>
      </c>
      <c r="AL59" s="3">
        <f>IF(AN59=21,J59,0)</f>
        <v>0</v>
      </c>
      <c r="AN59" s="52">
        <v>21</v>
      </c>
      <c r="AO59" s="52">
        <f>G59*0.0925125850928357</f>
        <v>0</v>
      </c>
      <c r="AP59" s="52">
        <f>G59*(1-0.0925125850928357)</f>
        <v>0</v>
      </c>
      <c r="AQ59" s="49" t="s">
        <v>13</v>
      </c>
      <c r="AV59" s="52">
        <f>AW59+AX59</f>
        <v>0</v>
      </c>
      <c r="AW59" s="52">
        <f>F59*AO59</f>
        <v>0</v>
      </c>
      <c r="AX59" s="52">
        <f>F59*AP59</f>
        <v>0</v>
      </c>
      <c r="AY59" s="53" t="s">
        <v>345</v>
      </c>
      <c r="AZ59" s="53" t="s">
        <v>365</v>
      </c>
      <c r="BA59" s="45" t="s">
        <v>368</v>
      </c>
      <c r="BC59" s="52">
        <f>AW59+AX59</f>
        <v>0</v>
      </c>
      <c r="BD59" s="52">
        <f>G59/(100-BE59)*100</f>
        <v>0</v>
      </c>
      <c r="BE59" s="52">
        <v>0</v>
      </c>
      <c r="BF59" s="52">
        <f>L59</f>
        <v>0.01050368</v>
      </c>
      <c r="BH59" s="3">
        <f>F59*AO59</f>
        <v>0</v>
      </c>
      <c r="BI59" s="3">
        <f>F59*AP59</f>
        <v>0</v>
      </c>
      <c r="BJ59" s="3">
        <f>F59*G59</f>
        <v>0</v>
      </c>
    </row>
    <row r="60" spans="1:62" ht="12.75">
      <c r="A60" s="1" t="s">
        <v>41</v>
      </c>
      <c r="B60" s="1"/>
      <c r="C60" s="1" t="s">
        <v>115</v>
      </c>
      <c r="D60" s="1" t="s">
        <v>203</v>
      </c>
      <c r="E60" s="1" t="s">
        <v>242</v>
      </c>
      <c r="F60" s="3">
        <f>'Rozpočet - vybrané sloupce'!AR59</f>
        <v>20</v>
      </c>
      <c r="G60" s="3">
        <f>'Rozpočet - vybrané sloupce'!AW59</f>
        <v>0</v>
      </c>
      <c r="H60" s="3">
        <f>F60*AO60</f>
        <v>0</v>
      </c>
      <c r="I60" s="3">
        <f>F60*AP60</f>
        <v>0</v>
      </c>
      <c r="J60" s="3">
        <f>F60*G60</f>
        <v>0</v>
      </c>
      <c r="K60" s="3">
        <v>0.00035</v>
      </c>
      <c r="L60" s="3">
        <f>F60*K60</f>
        <v>0.007</v>
      </c>
      <c r="M60" s="49" t="s">
        <v>320</v>
      </c>
      <c r="Z60" s="52">
        <f>IF(AQ60="5",BJ60,0)</f>
        <v>0</v>
      </c>
      <c r="AB60" s="52">
        <f>IF(AQ60="1",BH60,0)</f>
        <v>0</v>
      </c>
      <c r="AC60" s="52">
        <f>IF(AQ60="1",BI60,0)</f>
        <v>0</v>
      </c>
      <c r="AD60" s="52">
        <f>IF(AQ60="7",BH60,0)</f>
        <v>0</v>
      </c>
      <c r="AE60" s="52">
        <f>IF(AQ60="7",BI60,0)</f>
        <v>0</v>
      </c>
      <c r="AF60" s="52">
        <f>IF(AQ60="2",BH60,0)</f>
        <v>0</v>
      </c>
      <c r="AG60" s="52">
        <f>IF(AQ60="2",BI60,0)</f>
        <v>0</v>
      </c>
      <c r="AH60" s="52">
        <f>IF(AQ60="0",BJ60,0)</f>
        <v>0</v>
      </c>
      <c r="AI60" s="45"/>
      <c r="AJ60" s="3">
        <f>IF(AN60=0,J60,0)</f>
        <v>0</v>
      </c>
      <c r="AK60" s="3">
        <f>IF(AN60=15,J60,0)</f>
        <v>0</v>
      </c>
      <c r="AL60" s="3">
        <f>IF(AN60=21,J60,0)</f>
        <v>0</v>
      </c>
      <c r="AN60" s="52">
        <v>21</v>
      </c>
      <c r="AO60" s="52">
        <f>G60*0.592356687898089</f>
        <v>0</v>
      </c>
      <c r="AP60" s="52">
        <f>G60*(1-0.592356687898089)</f>
        <v>0</v>
      </c>
      <c r="AQ60" s="49" t="s">
        <v>13</v>
      </c>
      <c r="AV60" s="52">
        <f>AW60+AX60</f>
        <v>0</v>
      </c>
      <c r="AW60" s="52">
        <f>F60*AO60</f>
        <v>0</v>
      </c>
      <c r="AX60" s="52">
        <f>F60*AP60</f>
        <v>0</v>
      </c>
      <c r="AY60" s="53" t="s">
        <v>345</v>
      </c>
      <c r="AZ60" s="53" t="s">
        <v>365</v>
      </c>
      <c r="BA60" s="45" t="s">
        <v>368</v>
      </c>
      <c r="BC60" s="52">
        <f>AW60+AX60</f>
        <v>0</v>
      </c>
      <c r="BD60" s="52">
        <f>G60/(100-BE60)*100</f>
        <v>0</v>
      </c>
      <c r="BE60" s="52">
        <v>0</v>
      </c>
      <c r="BF60" s="52">
        <f>L60</f>
        <v>0.007</v>
      </c>
      <c r="BH60" s="3">
        <f>F60*AO60</f>
        <v>0</v>
      </c>
      <c r="BI60" s="3">
        <f>F60*AP60</f>
        <v>0</v>
      </c>
      <c r="BJ60" s="3">
        <f>F60*G60</f>
        <v>0</v>
      </c>
    </row>
    <row r="61" spans="1:47" ht="12.75">
      <c r="A61" s="30"/>
      <c r="B61" s="36"/>
      <c r="C61" s="36" t="s">
        <v>116</v>
      </c>
      <c r="D61" s="36" t="s">
        <v>204</v>
      </c>
      <c r="E61" s="30" t="s">
        <v>6</v>
      </c>
      <c r="F61" s="30" t="s">
        <v>6</v>
      </c>
      <c r="G61" s="30" t="s">
        <v>6</v>
      </c>
      <c r="H61" s="6">
        <f>SUM(H62:H62)</f>
        <v>0</v>
      </c>
      <c r="I61" s="6">
        <f>SUM(I62:I62)</f>
        <v>0</v>
      </c>
      <c r="J61" s="6">
        <f>SUM(J62:J62)</f>
        <v>0</v>
      </c>
      <c r="K61" s="45"/>
      <c r="L61" s="6">
        <f>SUM(L62:L62)</f>
        <v>0.09012608</v>
      </c>
      <c r="M61" s="45"/>
      <c r="AI61" s="45"/>
      <c r="AS61" s="6">
        <f>SUM(AJ62:AJ62)</f>
        <v>0</v>
      </c>
      <c r="AT61" s="6">
        <f>SUM(AK62:AK62)</f>
        <v>0</v>
      </c>
      <c r="AU61" s="6">
        <f>SUM(AL62:AL62)</f>
        <v>0</v>
      </c>
    </row>
    <row r="62" spans="1:62" ht="12.75">
      <c r="A62" s="1" t="s">
        <v>42</v>
      </c>
      <c r="B62" s="1"/>
      <c r="C62" s="1" t="s">
        <v>117</v>
      </c>
      <c r="D62" s="1" t="s">
        <v>205</v>
      </c>
      <c r="E62" s="1" t="s">
        <v>242</v>
      </c>
      <c r="F62" s="3">
        <f>'Rozpočet - vybrané sloupce'!AR61</f>
        <v>15.224</v>
      </c>
      <c r="G62" s="3">
        <f>'Rozpočet - vybrané sloupce'!AW61</f>
        <v>0</v>
      </c>
      <c r="H62" s="3">
        <f>F62*AO62</f>
        <v>0</v>
      </c>
      <c r="I62" s="3">
        <f>F62*AP62</f>
        <v>0</v>
      </c>
      <c r="J62" s="3">
        <f>F62*G62</f>
        <v>0</v>
      </c>
      <c r="K62" s="3">
        <v>0.00592</v>
      </c>
      <c r="L62" s="3">
        <f>F62*K62</f>
        <v>0.09012608</v>
      </c>
      <c r="M62" s="49" t="s">
        <v>320</v>
      </c>
      <c r="Z62" s="52">
        <f>IF(AQ62="5",BJ62,0)</f>
        <v>0</v>
      </c>
      <c r="AB62" s="52">
        <f>IF(AQ62="1",BH62,0)</f>
        <v>0</v>
      </c>
      <c r="AC62" s="52">
        <f>IF(AQ62="1",BI62,0)</f>
        <v>0</v>
      </c>
      <c r="AD62" s="52">
        <f>IF(AQ62="7",BH62,0)</f>
        <v>0</v>
      </c>
      <c r="AE62" s="52">
        <f>IF(AQ62="7",BI62,0)</f>
        <v>0</v>
      </c>
      <c r="AF62" s="52">
        <f>IF(AQ62="2",BH62,0)</f>
        <v>0</v>
      </c>
      <c r="AG62" s="52">
        <f>IF(AQ62="2",BI62,0)</f>
        <v>0</v>
      </c>
      <c r="AH62" s="52">
        <f>IF(AQ62="0",BJ62,0)</f>
        <v>0</v>
      </c>
      <c r="AI62" s="45"/>
      <c r="AJ62" s="3">
        <f>IF(AN62=0,J62,0)</f>
        <v>0</v>
      </c>
      <c r="AK62" s="3">
        <f>IF(AN62=15,J62,0)</f>
        <v>0</v>
      </c>
      <c r="AL62" s="3">
        <f>IF(AN62=21,J62,0)</f>
        <v>0</v>
      </c>
      <c r="AN62" s="52">
        <v>21</v>
      </c>
      <c r="AO62" s="52">
        <f>G62*0.422333333333333</f>
        <v>0</v>
      </c>
      <c r="AP62" s="52">
        <f>G62*(1-0.422333333333333)</f>
        <v>0</v>
      </c>
      <c r="AQ62" s="49" t="s">
        <v>7</v>
      </c>
      <c r="AV62" s="52">
        <f>AW62+AX62</f>
        <v>0</v>
      </c>
      <c r="AW62" s="52">
        <f>F62*AO62</f>
        <v>0</v>
      </c>
      <c r="AX62" s="52">
        <f>F62*AP62</f>
        <v>0</v>
      </c>
      <c r="AY62" s="53" t="s">
        <v>346</v>
      </c>
      <c r="AZ62" s="53" t="s">
        <v>366</v>
      </c>
      <c r="BA62" s="45" t="s">
        <v>368</v>
      </c>
      <c r="BC62" s="52">
        <f>AW62+AX62</f>
        <v>0</v>
      </c>
      <c r="BD62" s="52">
        <f>G62/(100-BE62)*100</f>
        <v>0</v>
      </c>
      <c r="BE62" s="52">
        <v>0</v>
      </c>
      <c r="BF62" s="52">
        <f>L62</f>
        <v>0.09012608</v>
      </c>
      <c r="BH62" s="3">
        <f>F62*AO62</f>
        <v>0</v>
      </c>
      <c r="BI62" s="3">
        <f>F62*AP62</f>
        <v>0</v>
      </c>
      <c r="BJ62" s="3">
        <f>F62*G62</f>
        <v>0</v>
      </c>
    </row>
    <row r="63" spans="1:47" ht="12.75">
      <c r="A63" s="30"/>
      <c r="B63" s="36"/>
      <c r="C63" s="36" t="s">
        <v>118</v>
      </c>
      <c r="D63" s="36" t="s">
        <v>206</v>
      </c>
      <c r="E63" s="30" t="s">
        <v>6</v>
      </c>
      <c r="F63" s="30" t="s">
        <v>6</v>
      </c>
      <c r="G63" s="30" t="s">
        <v>6</v>
      </c>
      <c r="H63" s="6">
        <f>SUM(H64:H67)</f>
        <v>0</v>
      </c>
      <c r="I63" s="6">
        <f>SUM(I64:I67)</f>
        <v>0</v>
      </c>
      <c r="J63" s="6">
        <f>SUM(J64:J67)</f>
        <v>0</v>
      </c>
      <c r="K63" s="45"/>
      <c r="L63" s="6">
        <f>SUM(L64:L67)</f>
        <v>1.075104</v>
      </c>
      <c r="M63" s="45"/>
      <c r="AI63" s="45"/>
      <c r="AS63" s="6">
        <f>SUM(AJ64:AJ67)</f>
        <v>0</v>
      </c>
      <c r="AT63" s="6">
        <f>SUM(AK64:AK67)</f>
        <v>0</v>
      </c>
      <c r="AU63" s="6">
        <f>SUM(AL64:AL67)</f>
        <v>0</v>
      </c>
    </row>
    <row r="64" spans="1:62" ht="12.75">
      <c r="A64" s="1" t="s">
        <v>43</v>
      </c>
      <c r="B64" s="1"/>
      <c r="C64" s="1" t="s">
        <v>119</v>
      </c>
      <c r="D64" s="1" t="s">
        <v>207</v>
      </c>
      <c r="E64" s="1" t="s">
        <v>244</v>
      </c>
      <c r="F64" s="3">
        <f>'Rozpočet - vybrané sloupce'!AR63</f>
        <v>4</v>
      </c>
      <c r="G64" s="3">
        <f>'Rozpočet - vybrané sloupce'!AW63</f>
        <v>0</v>
      </c>
      <c r="H64" s="3">
        <f>F64*AO64</f>
        <v>0</v>
      </c>
      <c r="I64" s="3">
        <f>F64*AP64</f>
        <v>0</v>
      </c>
      <c r="J64" s="3">
        <f>F64*G64</f>
        <v>0</v>
      </c>
      <c r="K64" s="3">
        <v>0</v>
      </c>
      <c r="L64" s="3">
        <f>F64*K64</f>
        <v>0</v>
      </c>
      <c r="M64" s="49" t="s">
        <v>320</v>
      </c>
      <c r="Z64" s="52">
        <f>IF(AQ64="5",BJ64,0)</f>
        <v>0</v>
      </c>
      <c r="AB64" s="52">
        <f>IF(AQ64="1",BH64,0)</f>
        <v>0</v>
      </c>
      <c r="AC64" s="52">
        <f>IF(AQ64="1",BI64,0)</f>
        <v>0</v>
      </c>
      <c r="AD64" s="52">
        <f>IF(AQ64="7",BH64,0)</f>
        <v>0</v>
      </c>
      <c r="AE64" s="52">
        <f>IF(AQ64="7",BI64,0)</f>
        <v>0</v>
      </c>
      <c r="AF64" s="52">
        <f>IF(AQ64="2",BH64,0)</f>
        <v>0</v>
      </c>
      <c r="AG64" s="52">
        <f>IF(AQ64="2",BI64,0)</f>
        <v>0</v>
      </c>
      <c r="AH64" s="52">
        <f>IF(AQ64="0",BJ64,0)</f>
        <v>0</v>
      </c>
      <c r="AI64" s="45"/>
      <c r="AJ64" s="3">
        <f>IF(AN64=0,J64,0)</f>
        <v>0</v>
      </c>
      <c r="AK64" s="3">
        <f>IF(AN64=15,J64,0)</f>
        <v>0</v>
      </c>
      <c r="AL64" s="3">
        <f>IF(AN64=21,J64,0)</f>
        <v>0</v>
      </c>
      <c r="AN64" s="52">
        <v>21</v>
      </c>
      <c r="AO64" s="52">
        <f>G64*0</f>
        <v>0</v>
      </c>
      <c r="AP64" s="52">
        <f>G64*(1-0)</f>
        <v>0</v>
      </c>
      <c r="AQ64" s="49" t="s">
        <v>7</v>
      </c>
      <c r="AV64" s="52">
        <f>AW64+AX64</f>
        <v>0</v>
      </c>
      <c r="AW64" s="52">
        <f>F64*AO64</f>
        <v>0</v>
      </c>
      <c r="AX64" s="52">
        <f>F64*AP64</f>
        <v>0</v>
      </c>
      <c r="AY64" s="53" t="s">
        <v>347</v>
      </c>
      <c r="AZ64" s="53" t="s">
        <v>366</v>
      </c>
      <c r="BA64" s="45" t="s">
        <v>368</v>
      </c>
      <c r="BC64" s="52">
        <f>AW64+AX64</f>
        <v>0</v>
      </c>
      <c r="BD64" s="52">
        <f>G64/(100-BE64)*100</f>
        <v>0</v>
      </c>
      <c r="BE64" s="52">
        <v>0</v>
      </c>
      <c r="BF64" s="52">
        <f>L64</f>
        <v>0</v>
      </c>
      <c r="BH64" s="3">
        <f>F64*AO64</f>
        <v>0</v>
      </c>
      <c r="BI64" s="3">
        <f>F64*AP64</f>
        <v>0</v>
      </c>
      <c r="BJ64" s="3">
        <f>F64*G64</f>
        <v>0</v>
      </c>
    </row>
    <row r="65" spans="1:62" ht="12.75">
      <c r="A65" s="1" t="s">
        <v>44</v>
      </c>
      <c r="B65" s="1"/>
      <c r="C65" s="1" t="s">
        <v>120</v>
      </c>
      <c r="D65" s="1" t="s">
        <v>208</v>
      </c>
      <c r="E65" s="1" t="s">
        <v>242</v>
      </c>
      <c r="F65" s="3">
        <f>'Rozpočet - vybrané sloupce'!AR64</f>
        <v>5.2</v>
      </c>
      <c r="G65" s="3">
        <f>'Rozpočet - vybrané sloupce'!AW64</f>
        <v>0</v>
      </c>
      <c r="H65" s="3">
        <f>F65*AO65</f>
        <v>0</v>
      </c>
      <c r="I65" s="3">
        <f>F65*AP65</f>
        <v>0</v>
      </c>
      <c r="J65" s="3">
        <f>F65*G65</f>
        <v>0</v>
      </c>
      <c r="K65" s="3">
        <v>0.07717</v>
      </c>
      <c r="L65" s="3">
        <f>F65*K65</f>
        <v>0.40128400000000003</v>
      </c>
      <c r="M65" s="49" t="s">
        <v>320</v>
      </c>
      <c r="Z65" s="52">
        <f>IF(AQ65="5",BJ65,0)</f>
        <v>0</v>
      </c>
      <c r="AB65" s="52">
        <f>IF(AQ65="1",BH65,0)</f>
        <v>0</v>
      </c>
      <c r="AC65" s="52">
        <f>IF(AQ65="1",BI65,0)</f>
        <v>0</v>
      </c>
      <c r="AD65" s="52">
        <f>IF(AQ65="7",BH65,0)</f>
        <v>0</v>
      </c>
      <c r="AE65" s="52">
        <f>IF(AQ65="7",BI65,0)</f>
        <v>0</v>
      </c>
      <c r="AF65" s="52">
        <f>IF(AQ65="2",BH65,0)</f>
        <v>0</v>
      </c>
      <c r="AG65" s="52">
        <f>IF(AQ65="2",BI65,0)</f>
        <v>0</v>
      </c>
      <c r="AH65" s="52">
        <f>IF(AQ65="0",BJ65,0)</f>
        <v>0</v>
      </c>
      <c r="AI65" s="45"/>
      <c r="AJ65" s="3">
        <f>IF(AN65=0,J65,0)</f>
        <v>0</v>
      </c>
      <c r="AK65" s="3">
        <f>IF(AN65=15,J65,0)</f>
        <v>0</v>
      </c>
      <c r="AL65" s="3">
        <f>IF(AN65=21,J65,0)</f>
        <v>0</v>
      </c>
      <c r="AN65" s="52">
        <v>21</v>
      </c>
      <c r="AO65" s="52">
        <f>G65*0.0755766621438263</f>
        <v>0</v>
      </c>
      <c r="AP65" s="52">
        <f>G65*(1-0.0755766621438263)</f>
        <v>0</v>
      </c>
      <c r="AQ65" s="49" t="s">
        <v>7</v>
      </c>
      <c r="AV65" s="52">
        <f>AW65+AX65</f>
        <v>0</v>
      </c>
      <c r="AW65" s="52">
        <f>F65*AO65</f>
        <v>0</v>
      </c>
      <c r="AX65" s="52">
        <f>F65*AP65</f>
        <v>0</v>
      </c>
      <c r="AY65" s="53" t="s">
        <v>347</v>
      </c>
      <c r="AZ65" s="53" t="s">
        <v>366</v>
      </c>
      <c r="BA65" s="45" t="s">
        <v>368</v>
      </c>
      <c r="BC65" s="52">
        <f>AW65+AX65</f>
        <v>0</v>
      </c>
      <c r="BD65" s="52">
        <f>G65/(100-BE65)*100</f>
        <v>0</v>
      </c>
      <c r="BE65" s="52">
        <v>0</v>
      </c>
      <c r="BF65" s="52">
        <f>L65</f>
        <v>0.40128400000000003</v>
      </c>
      <c r="BH65" s="3">
        <f>F65*AO65</f>
        <v>0</v>
      </c>
      <c r="BI65" s="3">
        <f>F65*AP65</f>
        <v>0</v>
      </c>
      <c r="BJ65" s="3">
        <f>F65*G65</f>
        <v>0</v>
      </c>
    </row>
    <row r="66" spans="1:62" ht="12.75">
      <c r="A66" s="1" t="s">
        <v>45</v>
      </c>
      <c r="B66" s="1"/>
      <c r="C66" s="1" t="s">
        <v>121</v>
      </c>
      <c r="D66" s="1" t="s">
        <v>209</v>
      </c>
      <c r="E66" s="1" t="s">
        <v>242</v>
      </c>
      <c r="F66" s="3">
        <f>'Rozpočet - vybrané sloupce'!AR65</f>
        <v>15.224</v>
      </c>
      <c r="G66" s="3">
        <f>'Rozpočet - vybrané sloupce'!AW65</f>
        <v>0</v>
      </c>
      <c r="H66" s="3">
        <f>F66*AO66</f>
        <v>0</v>
      </c>
      <c r="I66" s="3">
        <f>F66*AP66</f>
        <v>0</v>
      </c>
      <c r="J66" s="3">
        <f>F66*G66</f>
        <v>0</v>
      </c>
      <c r="K66" s="3">
        <v>0.02</v>
      </c>
      <c r="L66" s="3">
        <f>F66*K66</f>
        <v>0.30448000000000003</v>
      </c>
      <c r="M66" s="49" t="s">
        <v>320</v>
      </c>
      <c r="Z66" s="52">
        <f>IF(AQ66="5",BJ66,0)</f>
        <v>0</v>
      </c>
      <c r="AB66" s="52">
        <f>IF(AQ66="1",BH66,0)</f>
        <v>0</v>
      </c>
      <c r="AC66" s="52">
        <f>IF(AQ66="1",BI66,0)</f>
        <v>0</v>
      </c>
      <c r="AD66" s="52">
        <f>IF(AQ66="7",BH66,0)</f>
        <v>0</v>
      </c>
      <c r="AE66" s="52">
        <f>IF(AQ66="7",BI66,0)</f>
        <v>0</v>
      </c>
      <c r="AF66" s="52">
        <f>IF(AQ66="2",BH66,0)</f>
        <v>0</v>
      </c>
      <c r="AG66" s="52">
        <f>IF(AQ66="2",BI66,0)</f>
        <v>0</v>
      </c>
      <c r="AH66" s="52">
        <f>IF(AQ66="0",BJ66,0)</f>
        <v>0</v>
      </c>
      <c r="AI66" s="45"/>
      <c r="AJ66" s="3">
        <f>IF(AN66=0,J66,0)</f>
        <v>0</v>
      </c>
      <c r="AK66" s="3">
        <f>IF(AN66=15,J66,0)</f>
        <v>0</v>
      </c>
      <c r="AL66" s="3">
        <f>IF(AN66=21,J66,0)</f>
        <v>0</v>
      </c>
      <c r="AN66" s="52">
        <v>21</v>
      </c>
      <c r="AO66" s="52">
        <f>G66*0</f>
        <v>0</v>
      </c>
      <c r="AP66" s="52">
        <f>G66*(1-0)</f>
        <v>0</v>
      </c>
      <c r="AQ66" s="49" t="s">
        <v>7</v>
      </c>
      <c r="AV66" s="52">
        <f>AW66+AX66</f>
        <v>0</v>
      </c>
      <c r="AW66" s="52">
        <f>F66*AO66</f>
        <v>0</v>
      </c>
      <c r="AX66" s="52">
        <f>F66*AP66</f>
        <v>0</v>
      </c>
      <c r="AY66" s="53" t="s">
        <v>347</v>
      </c>
      <c r="AZ66" s="53" t="s">
        <v>366</v>
      </c>
      <c r="BA66" s="45" t="s">
        <v>368</v>
      </c>
      <c r="BC66" s="52">
        <f>AW66+AX66</f>
        <v>0</v>
      </c>
      <c r="BD66" s="52">
        <f>G66/(100-BE66)*100</f>
        <v>0</v>
      </c>
      <c r="BE66" s="52">
        <v>0</v>
      </c>
      <c r="BF66" s="52">
        <f>L66</f>
        <v>0.30448000000000003</v>
      </c>
      <c r="BH66" s="3">
        <f>F66*AO66</f>
        <v>0</v>
      </c>
      <c r="BI66" s="3">
        <f>F66*AP66</f>
        <v>0</v>
      </c>
      <c r="BJ66" s="3">
        <f>F66*G66</f>
        <v>0</v>
      </c>
    </row>
    <row r="67" spans="1:62" ht="12.75">
      <c r="A67" s="1" t="s">
        <v>46</v>
      </c>
      <c r="B67" s="1"/>
      <c r="C67" s="1" t="s">
        <v>122</v>
      </c>
      <c r="D67" s="1" t="s">
        <v>210</v>
      </c>
      <c r="E67" s="1" t="s">
        <v>242</v>
      </c>
      <c r="F67" s="3">
        <f>'Rozpočet - vybrané sloupce'!AR66</f>
        <v>2</v>
      </c>
      <c r="G67" s="3">
        <f>'Rozpočet - vybrané sloupce'!AW66</f>
        <v>0</v>
      </c>
      <c r="H67" s="3">
        <f>F67*AO67</f>
        <v>0</v>
      </c>
      <c r="I67" s="3">
        <f>F67*AP67</f>
        <v>0</v>
      </c>
      <c r="J67" s="3">
        <f>F67*G67</f>
        <v>0</v>
      </c>
      <c r="K67" s="3">
        <v>0.18467</v>
      </c>
      <c r="L67" s="3">
        <f>F67*K67</f>
        <v>0.36934</v>
      </c>
      <c r="M67" s="49" t="s">
        <v>320</v>
      </c>
      <c r="Z67" s="52">
        <f>IF(AQ67="5",BJ67,0)</f>
        <v>0</v>
      </c>
      <c r="AB67" s="52">
        <f>IF(AQ67="1",BH67,0)</f>
        <v>0</v>
      </c>
      <c r="AC67" s="52">
        <f>IF(AQ67="1",BI67,0)</f>
        <v>0</v>
      </c>
      <c r="AD67" s="52">
        <f>IF(AQ67="7",BH67,0)</f>
        <v>0</v>
      </c>
      <c r="AE67" s="52">
        <f>IF(AQ67="7",BI67,0)</f>
        <v>0</v>
      </c>
      <c r="AF67" s="52">
        <f>IF(AQ67="2",BH67,0)</f>
        <v>0</v>
      </c>
      <c r="AG67" s="52">
        <f>IF(AQ67="2",BI67,0)</f>
        <v>0</v>
      </c>
      <c r="AH67" s="52">
        <f>IF(AQ67="0",BJ67,0)</f>
        <v>0</v>
      </c>
      <c r="AI67" s="45"/>
      <c r="AJ67" s="3">
        <f>IF(AN67=0,J67,0)</f>
        <v>0</v>
      </c>
      <c r="AK67" s="3">
        <f>IF(AN67=15,J67,0)</f>
        <v>0</v>
      </c>
      <c r="AL67" s="3">
        <f>IF(AN67=21,J67,0)</f>
        <v>0</v>
      </c>
      <c r="AN67" s="52">
        <v>21</v>
      </c>
      <c r="AO67" s="52">
        <f>G67*0.133670886075949</f>
        <v>0</v>
      </c>
      <c r="AP67" s="52">
        <f>G67*(1-0.133670886075949)</f>
        <v>0</v>
      </c>
      <c r="AQ67" s="49" t="s">
        <v>7</v>
      </c>
      <c r="AV67" s="52">
        <f>AW67+AX67</f>
        <v>0</v>
      </c>
      <c r="AW67" s="52">
        <f>F67*AO67</f>
        <v>0</v>
      </c>
      <c r="AX67" s="52">
        <f>F67*AP67</f>
        <v>0</v>
      </c>
      <c r="AY67" s="53" t="s">
        <v>347</v>
      </c>
      <c r="AZ67" s="53" t="s">
        <v>366</v>
      </c>
      <c r="BA67" s="45" t="s">
        <v>368</v>
      </c>
      <c r="BC67" s="52">
        <f>AW67+AX67</f>
        <v>0</v>
      </c>
      <c r="BD67" s="52">
        <f>G67/(100-BE67)*100</f>
        <v>0</v>
      </c>
      <c r="BE67" s="52">
        <v>0</v>
      </c>
      <c r="BF67" s="52">
        <f>L67</f>
        <v>0.36934</v>
      </c>
      <c r="BH67" s="3">
        <f>F67*AO67</f>
        <v>0</v>
      </c>
      <c r="BI67" s="3">
        <f>F67*AP67</f>
        <v>0</v>
      </c>
      <c r="BJ67" s="3">
        <f>F67*G67</f>
        <v>0</v>
      </c>
    </row>
    <row r="68" spans="1:47" ht="12.75">
      <c r="A68" s="30"/>
      <c r="B68" s="36"/>
      <c r="C68" s="36" t="s">
        <v>123</v>
      </c>
      <c r="D68" s="36" t="s">
        <v>211</v>
      </c>
      <c r="E68" s="30" t="s">
        <v>6</v>
      </c>
      <c r="F68" s="30" t="s">
        <v>6</v>
      </c>
      <c r="G68" s="30" t="s">
        <v>6</v>
      </c>
      <c r="H68" s="6">
        <f>SUM(H69:H70)</f>
        <v>0</v>
      </c>
      <c r="I68" s="6">
        <f>SUM(I69:I70)</f>
        <v>0</v>
      </c>
      <c r="J68" s="6">
        <f>SUM(J69:J70)</f>
        <v>0</v>
      </c>
      <c r="K68" s="45"/>
      <c r="L68" s="6">
        <f>SUM(L69:L70)</f>
        <v>3.2373240000000005</v>
      </c>
      <c r="M68" s="45"/>
      <c r="AI68" s="45"/>
      <c r="AS68" s="6">
        <f>SUM(AJ69:AJ70)</f>
        <v>0</v>
      </c>
      <c r="AT68" s="6">
        <f>SUM(AK69:AK70)</f>
        <v>0</v>
      </c>
      <c r="AU68" s="6">
        <f>SUM(AL69:AL70)</f>
        <v>0</v>
      </c>
    </row>
    <row r="69" spans="1:62" ht="12.75">
      <c r="A69" s="1" t="s">
        <v>47</v>
      </c>
      <c r="B69" s="1"/>
      <c r="C69" s="1" t="s">
        <v>124</v>
      </c>
      <c r="D69" s="1" t="s">
        <v>212</v>
      </c>
      <c r="E69" s="1" t="s">
        <v>242</v>
      </c>
      <c r="F69" s="3">
        <f>'Rozpočet - vybrané sloupce'!AR68</f>
        <v>45.508</v>
      </c>
      <c r="G69" s="3">
        <f>'Rozpočet - vybrané sloupce'!AW68</f>
        <v>0</v>
      </c>
      <c r="H69" s="3">
        <f>F69*AO69</f>
        <v>0</v>
      </c>
      <c r="I69" s="3">
        <f>F69*AP69</f>
        <v>0</v>
      </c>
      <c r="J69" s="3">
        <f>F69*G69</f>
        <v>0</v>
      </c>
      <c r="K69" s="3">
        <v>0.068</v>
      </c>
      <c r="L69" s="3">
        <f>F69*K69</f>
        <v>3.0945440000000004</v>
      </c>
      <c r="M69" s="49" t="s">
        <v>320</v>
      </c>
      <c r="Z69" s="52">
        <f>IF(AQ69="5",BJ69,0)</f>
        <v>0</v>
      </c>
      <c r="AB69" s="52">
        <f>IF(AQ69="1",BH69,0)</f>
        <v>0</v>
      </c>
      <c r="AC69" s="52">
        <f>IF(AQ69="1",BI69,0)</f>
        <v>0</v>
      </c>
      <c r="AD69" s="52">
        <f>IF(AQ69="7",BH69,0)</f>
        <v>0</v>
      </c>
      <c r="AE69" s="52">
        <f>IF(AQ69="7",BI69,0)</f>
        <v>0</v>
      </c>
      <c r="AF69" s="52">
        <f>IF(AQ69="2",BH69,0)</f>
        <v>0</v>
      </c>
      <c r="AG69" s="52">
        <f>IF(AQ69="2",BI69,0)</f>
        <v>0</v>
      </c>
      <c r="AH69" s="52">
        <f>IF(AQ69="0",BJ69,0)</f>
        <v>0</v>
      </c>
      <c r="AI69" s="45"/>
      <c r="AJ69" s="3">
        <f>IF(AN69=0,J69,0)</f>
        <v>0</v>
      </c>
      <c r="AK69" s="3">
        <f>IF(AN69=15,J69,0)</f>
        <v>0</v>
      </c>
      <c r="AL69" s="3">
        <f>IF(AN69=21,J69,0)</f>
        <v>0</v>
      </c>
      <c r="AN69" s="52">
        <v>21</v>
      </c>
      <c r="AO69" s="52">
        <f>G69*0</f>
        <v>0</v>
      </c>
      <c r="AP69" s="52">
        <f>G69*(1-0)</f>
        <v>0</v>
      </c>
      <c r="AQ69" s="49" t="s">
        <v>7</v>
      </c>
      <c r="AV69" s="52">
        <f>AW69+AX69</f>
        <v>0</v>
      </c>
      <c r="AW69" s="52">
        <f>F69*AO69</f>
        <v>0</v>
      </c>
      <c r="AX69" s="52">
        <f>F69*AP69</f>
        <v>0</v>
      </c>
      <c r="AY69" s="53" t="s">
        <v>348</v>
      </c>
      <c r="AZ69" s="53" t="s">
        <v>366</v>
      </c>
      <c r="BA69" s="45" t="s">
        <v>368</v>
      </c>
      <c r="BC69" s="52">
        <f>AW69+AX69</f>
        <v>0</v>
      </c>
      <c r="BD69" s="52">
        <f>G69/(100-BE69)*100</f>
        <v>0</v>
      </c>
      <c r="BE69" s="52">
        <v>0</v>
      </c>
      <c r="BF69" s="52">
        <f>L69</f>
        <v>3.0945440000000004</v>
      </c>
      <c r="BH69" s="3">
        <f>F69*AO69</f>
        <v>0</v>
      </c>
      <c r="BI69" s="3">
        <f>F69*AP69</f>
        <v>0</v>
      </c>
      <c r="BJ69" s="3">
        <f>F69*G69</f>
        <v>0</v>
      </c>
    </row>
    <row r="70" spans="1:62" ht="12.75">
      <c r="A70" s="1" t="s">
        <v>48</v>
      </c>
      <c r="B70" s="1"/>
      <c r="C70" s="1" t="s">
        <v>125</v>
      </c>
      <c r="D70" s="1" t="s">
        <v>213</v>
      </c>
      <c r="E70" s="1" t="s">
        <v>243</v>
      </c>
      <c r="F70" s="3">
        <f>'Rozpočet - vybrané sloupce'!AR69</f>
        <v>22</v>
      </c>
      <c r="G70" s="3">
        <f>'Rozpočet - vybrané sloupce'!AW69</f>
        <v>0</v>
      </c>
      <c r="H70" s="3">
        <f>F70*AO70</f>
        <v>0</v>
      </c>
      <c r="I70" s="3">
        <f>F70*AP70</f>
        <v>0</v>
      </c>
      <c r="J70" s="3">
        <f>F70*G70</f>
        <v>0</v>
      </c>
      <c r="K70" s="3">
        <v>0.00649</v>
      </c>
      <c r="L70" s="3">
        <f>F70*K70</f>
        <v>0.14278</v>
      </c>
      <c r="M70" s="49" t="s">
        <v>320</v>
      </c>
      <c r="Z70" s="52">
        <f>IF(AQ70="5",BJ70,0)</f>
        <v>0</v>
      </c>
      <c r="AB70" s="52">
        <f>IF(AQ70="1",BH70,0)</f>
        <v>0</v>
      </c>
      <c r="AC70" s="52">
        <f>IF(AQ70="1",BI70,0)</f>
        <v>0</v>
      </c>
      <c r="AD70" s="52">
        <f>IF(AQ70="7",BH70,0)</f>
        <v>0</v>
      </c>
      <c r="AE70" s="52">
        <f>IF(AQ70="7",BI70,0)</f>
        <v>0</v>
      </c>
      <c r="AF70" s="52">
        <f>IF(AQ70="2",BH70,0)</f>
        <v>0</v>
      </c>
      <c r="AG70" s="52">
        <f>IF(AQ70="2",BI70,0)</f>
        <v>0</v>
      </c>
      <c r="AH70" s="52">
        <f>IF(AQ70="0",BJ70,0)</f>
        <v>0</v>
      </c>
      <c r="AI70" s="45"/>
      <c r="AJ70" s="3">
        <f>IF(AN70=0,J70,0)</f>
        <v>0</v>
      </c>
      <c r="AK70" s="3">
        <f>IF(AN70=15,J70,0)</f>
        <v>0</v>
      </c>
      <c r="AL70" s="3">
        <f>IF(AN70=21,J70,0)</f>
        <v>0</v>
      </c>
      <c r="AN70" s="52">
        <v>21</v>
      </c>
      <c r="AO70" s="52">
        <f>G70*0.1125</f>
        <v>0</v>
      </c>
      <c r="AP70" s="52">
        <f>G70*(1-0.1125)</f>
        <v>0</v>
      </c>
      <c r="AQ70" s="49" t="s">
        <v>7</v>
      </c>
      <c r="AV70" s="52">
        <f>AW70+AX70</f>
        <v>0</v>
      </c>
      <c r="AW70" s="52">
        <f>F70*AO70</f>
        <v>0</v>
      </c>
      <c r="AX70" s="52">
        <f>F70*AP70</f>
        <v>0</v>
      </c>
      <c r="AY70" s="53" t="s">
        <v>348</v>
      </c>
      <c r="AZ70" s="53" t="s">
        <v>366</v>
      </c>
      <c r="BA70" s="45" t="s">
        <v>368</v>
      </c>
      <c r="BC70" s="52">
        <f>AW70+AX70</f>
        <v>0</v>
      </c>
      <c r="BD70" s="52">
        <f>G70/(100-BE70)*100</f>
        <v>0</v>
      </c>
      <c r="BE70" s="52">
        <v>0</v>
      </c>
      <c r="BF70" s="52">
        <f>L70</f>
        <v>0.14278</v>
      </c>
      <c r="BH70" s="3">
        <f>F70*AO70</f>
        <v>0</v>
      </c>
      <c r="BI70" s="3">
        <f>F70*AP70</f>
        <v>0</v>
      </c>
      <c r="BJ70" s="3">
        <f>F70*G70</f>
        <v>0</v>
      </c>
    </row>
    <row r="71" spans="1:47" ht="12.75">
      <c r="A71" s="30"/>
      <c r="B71" s="36"/>
      <c r="C71" s="36" t="s">
        <v>126</v>
      </c>
      <c r="D71" s="36" t="s">
        <v>168</v>
      </c>
      <c r="E71" s="30" t="s">
        <v>6</v>
      </c>
      <c r="F71" s="30" t="s">
        <v>6</v>
      </c>
      <c r="G71" s="30" t="s">
        <v>6</v>
      </c>
      <c r="H71" s="6">
        <f>SUM(H72:H72)</f>
        <v>0</v>
      </c>
      <c r="I71" s="6">
        <f>SUM(I72:I72)</f>
        <v>0</v>
      </c>
      <c r="J71" s="6">
        <f>SUM(J72:J72)</f>
        <v>0</v>
      </c>
      <c r="K71" s="45"/>
      <c r="L71" s="6">
        <f>SUM(L72:L72)</f>
        <v>0</v>
      </c>
      <c r="M71" s="45"/>
      <c r="AI71" s="45"/>
      <c r="AS71" s="6">
        <f>SUM(AJ72:AJ72)</f>
        <v>0</v>
      </c>
      <c r="AT71" s="6">
        <f>SUM(AK72:AK72)</f>
        <v>0</v>
      </c>
      <c r="AU71" s="6">
        <f>SUM(AL72:AL72)</f>
        <v>0</v>
      </c>
    </row>
    <row r="72" spans="1:62" ht="12.75">
      <c r="A72" s="1" t="s">
        <v>49</v>
      </c>
      <c r="B72" s="1"/>
      <c r="C72" s="1" t="s">
        <v>127</v>
      </c>
      <c r="D72" s="1" t="s">
        <v>214</v>
      </c>
      <c r="E72" s="1" t="s">
        <v>247</v>
      </c>
      <c r="F72" s="3">
        <f>'Rozpočet - vybrané sloupce'!AR71</f>
        <v>0.46143</v>
      </c>
      <c r="G72" s="3">
        <f>'Rozpočet - vybrané sloupce'!AW71</f>
        <v>0</v>
      </c>
      <c r="H72" s="3">
        <f>F72*AO72</f>
        <v>0</v>
      </c>
      <c r="I72" s="3">
        <f>F72*AP72</f>
        <v>0</v>
      </c>
      <c r="J72" s="3">
        <f>F72*G72</f>
        <v>0</v>
      </c>
      <c r="K72" s="3">
        <v>0</v>
      </c>
      <c r="L72" s="3">
        <f>F72*K72</f>
        <v>0</v>
      </c>
      <c r="M72" s="49" t="s">
        <v>320</v>
      </c>
      <c r="Z72" s="52">
        <f>IF(AQ72="5",BJ72,0)</f>
        <v>0</v>
      </c>
      <c r="AB72" s="52">
        <f>IF(AQ72="1",BH72,0)</f>
        <v>0</v>
      </c>
      <c r="AC72" s="52">
        <f>IF(AQ72="1",BI72,0)</f>
        <v>0</v>
      </c>
      <c r="AD72" s="52">
        <f>IF(AQ72="7",BH72,0)</f>
        <v>0</v>
      </c>
      <c r="AE72" s="52">
        <f>IF(AQ72="7",BI72,0)</f>
        <v>0</v>
      </c>
      <c r="AF72" s="52">
        <f>IF(AQ72="2",BH72,0)</f>
        <v>0</v>
      </c>
      <c r="AG72" s="52">
        <f>IF(AQ72="2",BI72,0)</f>
        <v>0</v>
      </c>
      <c r="AH72" s="52">
        <f>IF(AQ72="0",BJ72,0)</f>
        <v>0</v>
      </c>
      <c r="AI72" s="45"/>
      <c r="AJ72" s="3">
        <f>IF(AN72=0,J72,0)</f>
        <v>0</v>
      </c>
      <c r="AK72" s="3">
        <f>IF(AN72=15,J72,0)</f>
        <v>0</v>
      </c>
      <c r="AL72" s="3">
        <f>IF(AN72=21,J72,0)</f>
        <v>0</v>
      </c>
      <c r="AN72" s="52">
        <v>21</v>
      </c>
      <c r="AO72" s="52">
        <f>G72*0</f>
        <v>0</v>
      </c>
      <c r="AP72" s="52">
        <f>G72*(1-0)</f>
        <v>0</v>
      </c>
      <c r="AQ72" s="49" t="s">
        <v>11</v>
      </c>
      <c r="AV72" s="52">
        <f>AW72+AX72</f>
        <v>0</v>
      </c>
      <c r="AW72" s="52">
        <f>F72*AO72</f>
        <v>0</v>
      </c>
      <c r="AX72" s="52">
        <f>F72*AP72</f>
        <v>0</v>
      </c>
      <c r="AY72" s="53" t="s">
        <v>349</v>
      </c>
      <c r="AZ72" s="53" t="s">
        <v>366</v>
      </c>
      <c r="BA72" s="45" t="s">
        <v>368</v>
      </c>
      <c r="BC72" s="52">
        <f>AW72+AX72</f>
        <v>0</v>
      </c>
      <c r="BD72" s="52">
        <f>G72/(100-BE72)*100</f>
        <v>0</v>
      </c>
      <c r="BE72" s="52">
        <v>0</v>
      </c>
      <c r="BF72" s="52">
        <f>L72</f>
        <v>0</v>
      </c>
      <c r="BH72" s="3">
        <f>F72*AO72</f>
        <v>0</v>
      </c>
      <c r="BI72" s="3">
        <f>F72*AP72</f>
        <v>0</v>
      </c>
      <c r="BJ72" s="3">
        <f>F72*G72</f>
        <v>0</v>
      </c>
    </row>
    <row r="73" spans="1:47" ht="12.75">
      <c r="A73" s="30"/>
      <c r="B73" s="36"/>
      <c r="C73" s="36" t="s">
        <v>128</v>
      </c>
      <c r="D73" s="36" t="s">
        <v>174</v>
      </c>
      <c r="E73" s="30" t="s">
        <v>6</v>
      </c>
      <c r="F73" s="30" t="s">
        <v>6</v>
      </c>
      <c r="G73" s="30" t="s">
        <v>6</v>
      </c>
      <c r="H73" s="6">
        <f>SUM(H74:H74)</f>
        <v>0</v>
      </c>
      <c r="I73" s="6">
        <f>SUM(I74:I74)</f>
        <v>0</v>
      </c>
      <c r="J73" s="6">
        <f>SUM(J74:J74)</f>
        <v>0</v>
      </c>
      <c r="K73" s="45"/>
      <c r="L73" s="6">
        <f>SUM(L74:L74)</f>
        <v>0</v>
      </c>
      <c r="M73" s="45"/>
      <c r="AI73" s="45"/>
      <c r="AS73" s="6">
        <f>SUM(AJ74:AJ74)</f>
        <v>0</v>
      </c>
      <c r="AT73" s="6">
        <f>SUM(AK74:AK74)</f>
        <v>0</v>
      </c>
      <c r="AU73" s="6">
        <f>SUM(AL74:AL74)</f>
        <v>0</v>
      </c>
    </row>
    <row r="74" spans="1:62" ht="12.75">
      <c r="A74" s="1" t="s">
        <v>50</v>
      </c>
      <c r="B74" s="1"/>
      <c r="C74" s="1" t="s">
        <v>129</v>
      </c>
      <c r="D74" s="1" t="s">
        <v>215</v>
      </c>
      <c r="E74" s="1" t="s">
        <v>247</v>
      </c>
      <c r="F74" s="3">
        <f>'Rozpočet - vybrané sloupce'!AR73</f>
        <v>0.50276</v>
      </c>
      <c r="G74" s="3">
        <f>'Rozpočet - vybrané sloupce'!AW73</f>
        <v>0</v>
      </c>
      <c r="H74" s="3">
        <f>F74*AO74</f>
        <v>0</v>
      </c>
      <c r="I74" s="3">
        <f>F74*AP74</f>
        <v>0</v>
      </c>
      <c r="J74" s="3">
        <f>F74*G74</f>
        <v>0</v>
      </c>
      <c r="K74" s="3">
        <v>0</v>
      </c>
      <c r="L74" s="3">
        <f>F74*K74</f>
        <v>0</v>
      </c>
      <c r="M74" s="49" t="s">
        <v>320</v>
      </c>
      <c r="Z74" s="52">
        <f>IF(AQ74="5",BJ74,0)</f>
        <v>0</v>
      </c>
      <c r="AB74" s="52">
        <f>IF(AQ74="1",BH74,0)</f>
        <v>0</v>
      </c>
      <c r="AC74" s="52">
        <f>IF(AQ74="1",BI74,0)</f>
        <v>0</v>
      </c>
      <c r="AD74" s="52">
        <f>IF(AQ74="7",BH74,0)</f>
        <v>0</v>
      </c>
      <c r="AE74" s="52">
        <f>IF(AQ74="7",BI74,0)</f>
        <v>0</v>
      </c>
      <c r="AF74" s="52">
        <f>IF(AQ74="2",BH74,0)</f>
        <v>0</v>
      </c>
      <c r="AG74" s="52">
        <f>IF(AQ74="2",BI74,0)</f>
        <v>0</v>
      </c>
      <c r="AH74" s="52">
        <f>IF(AQ74="0",BJ74,0)</f>
        <v>0</v>
      </c>
      <c r="AI74" s="45"/>
      <c r="AJ74" s="3">
        <f>IF(AN74=0,J74,0)</f>
        <v>0</v>
      </c>
      <c r="AK74" s="3">
        <f>IF(AN74=15,J74,0)</f>
        <v>0</v>
      </c>
      <c r="AL74" s="3">
        <f>IF(AN74=21,J74,0)</f>
        <v>0</v>
      </c>
      <c r="AN74" s="52">
        <v>21</v>
      </c>
      <c r="AO74" s="52">
        <f>G74*0</f>
        <v>0</v>
      </c>
      <c r="AP74" s="52">
        <f>G74*(1-0)</f>
        <v>0</v>
      </c>
      <c r="AQ74" s="49" t="s">
        <v>11</v>
      </c>
      <c r="AV74" s="52">
        <f>AW74+AX74</f>
        <v>0</v>
      </c>
      <c r="AW74" s="52">
        <f>F74*AO74</f>
        <v>0</v>
      </c>
      <c r="AX74" s="52">
        <f>F74*AP74</f>
        <v>0</v>
      </c>
      <c r="AY74" s="53" t="s">
        <v>350</v>
      </c>
      <c r="AZ74" s="53" t="s">
        <v>366</v>
      </c>
      <c r="BA74" s="45" t="s">
        <v>368</v>
      </c>
      <c r="BC74" s="52">
        <f>AW74+AX74</f>
        <v>0</v>
      </c>
      <c r="BD74" s="52">
        <f>G74/(100-BE74)*100</f>
        <v>0</v>
      </c>
      <c r="BE74" s="52">
        <v>0</v>
      </c>
      <c r="BF74" s="52">
        <f>L74</f>
        <v>0</v>
      </c>
      <c r="BH74" s="3">
        <f>F74*AO74</f>
        <v>0</v>
      </c>
      <c r="BI74" s="3">
        <f>F74*AP74</f>
        <v>0</v>
      </c>
      <c r="BJ74" s="3">
        <f>F74*G74</f>
        <v>0</v>
      </c>
    </row>
    <row r="75" spans="1:47" ht="12.75">
      <c r="A75" s="30"/>
      <c r="B75" s="36"/>
      <c r="C75" s="36" t="s">
        <v>130</v>
      </c>
      <c r="D75" s="36" t="s">
        <v>181</v>
      </c>
      <c r="E75" s="30" t="s">
        <v>6</v>
      </c>
      <c r="F75" s="30" t="s">
        <v>6</v>
      </c>
      <c r="G75" s="30" t="s">
        <v>6</v>
      </c>
      <c r="H75" s="6">
        <f>SUM(H76:H76)</f>
        <v>0</v>
      </c>
      <c r="I75" s="6">
        <f>SUM(I76:I76)</f>
        <v>0</v>
      </c>
      <c r="J75" s="6">
        <f>SUM(J76:J76)</f>
        <v>0</v>
      </c>
      <c r="K75" s="45"/>
      <c r="L75" s="6">
        <f>SUM(L76:L76)</f>
        <v>0</v>
      </c>
      <c r="M75" s="45"/>
      <c r="AI75" s="45"/>
      <c r="AS75" s="6">
        <f>SUM(AJ76:AJ76)</f>
        <v>0</v>
      </c>
      <c r="AT75" s="6">
        <f>SUM(AK76:AK76)</f>
        <v>0</v>
      </c>
      <c r="AU75" s="6">
        <f>SUM(AL76:AL76)</f>
        <v>0</v>
      </c>
    </row>
    <row r="76" spans="1:62" ht="12.75">
      <c r="A76" s="1" t="s">
        <v>51</v>
      </c>
      <c r="B76" s="1"/>
      <c r="C76" s="1" t="s">
        <v>131</v>
      </c>
      <c r="D76" s="1" t="s">
        <v>216</v>
      </c>
      <c r="E76" s="1" t="s">
        <v>247</v>
      </c>
      <c r="F76" s="3">
        <f>'Rozpočet - vybrané sloupce'!AR75</f>
        <v>0.07652</v>
      </c>
      <c r="G76" s="3">
        <f>'Rozpočet - vybrané sloupce'!AW75</f>
        <v>0</v>
      </c>
      <c r="H76" s="3">
        <f>F76*AO76</f>
        <v>0</v>
      </c>
      <c r="I76" s="3">
        <f>F76*AP76</f>
        <v>0</v>
      </c>
      <c r="J76" s="3">
        <f>F76*G76</f>
        <v>0</v>
      </c>
      <c r="K76" s="3">
        <v>0</v>
      </c>
      <c r="L76" s="3">
        <f>F76*K76</f>
        <v>0</v>
      </c>
      <c r="M76" s="49" t="s">
        <v>320</v>
      </c>
      <c r="Z76" s="52">
        <f>IF(AQ76="5",BJ76,0)</f>
        <v>0</v>
      </c>
      <c r="AB76" s="52">
        <f>IF(AQ76="1",BH76,0)</f>
        <v>0</v>
      </c>
      <c r="AC76" s="52">
        <f>IF(AQ76="1",BI76,0)</f>
        <v>0</v>
      </c>
      <c r="AD76" s="52">
        <f>IF(AQ76="7",BH76,0)</f>
        <v>0</v>
      </c>
      <c r="AE76" s="52">
        <f>IF(AQ76="7",BI76,0)</f>
        <v>0</v>
      </c>
      <c r="AF76" s="52">
        <f>IF(AQ76="2",BH76,0)</f>
        <v>0</v>
      </c>
      <c r="AG76" s="52">
        <f>IF(AQ76="2",BI76,0)</f>
        <v>0</v>
      </c>
      <c r="AH76" s="52">
        <f>IF(AQ76="0",BJ76,0)</f>
        <v>0</v>
      </c>
      <c r="AI76" s="45"/>
      <c r="AJ76" s="3">
        <f>IF(AN76=0,J76,0)</f>
        <v>0</v>
      </c>
      <c r="AK76" s="3">
        <f>IF(AN76=15,J76,0)</f>
        <v>0</v>
      </c>
      <c r="AL76" s="3">
        <f>IF(AN76=21,J76,0)</f>
        <v>0</v>
      </c>
      <c r="AN76" s="52">
        <v>21</v>
      </c>
      <c r="AO76" s="52">
        <f>G76*0</f>
        <v>0</v>
      </c>
      <c r="AP76" s="52">
        <f>G76*(1-0)</f>
        <v>0</v>
      </c>
      <c r="AQ76" s="49" t="s">
        <v>11</v>
      </c>
      <c r="AV76" s="52">
        <f>AW76+AX76</f>
        <v>0</v>
      </c>
      <c r="AW76" s="52">
        <f>F76*AO76</f>
        <v>0</v>
      </c>
      <c r="AX76" s="52">
        <f>F76*AP76</f>
        <v>0</v>
      </c>
      <c r="AY76" s="53" t="s">
        <v>351</v>
      </c>
      <c r="AZ76" s="53" t="s">
        <v>366</v>
      </c>
      <c r="BA76" s="45" t="s">
        <v>368</v>
      </c>
      <c r="BC76" s="52">
        <f>AW76+AX76</f>
        <v>0</v>
      </c>
      <c r="BD76" s="52">
        <f>G76/(100-BE76)*100</f>
        <v>0</v>
      </c>
      <c r="BE76" s="52">
        <v>0</v>
      </c>
      <c r="BF76" s="52">
        <f>L76</f>
        <v>0</v>
      </c>
      <c r="BH76" s="3">
        <f>F76*AO76</f>
        <v>0</v>
      </c>
      <c r="BI76" s="3">
        <f>F76*AP76</f>
        <v>0</v>
      </c>
      <c r="BJ76" s="3">
        <f>F76*G76</f>
        <v>0</v>
      </c>
    </row>
    <row r="77" spans="1:47" ht="12.75">
      <c r="A77" s="30"/>
      <c r="B77" s="36"/>
      <c r="C77" s="36" t="s">
        <v>132</v>
      </c>
      <c r="D77" s="36" t="s">
        <v>185</v>
      </c>
      <c r="E77" s="30" t="s">
        <v>6</v>
      </c>
      <c r="F77" s="30" t="s">
        <v>6</v>
      </c>
      <c r="G77" s="30" t="s">
        <v>6</v>
      </c>
      <c r="H77" s="6">
        <f>SUM(H78:H78)</f>
        <v>0</v>
      </c>
      <c r="I77" s="6">
        <f>SUM(I78:I78)</f>
        <v>0</v>
      </c>
      <c r="J77" s="6">
        <f>SUM(J78:J78)</f>
        <v>0</v>
      </c>
      <c r="K77" s="45"/>
      <c r="L77" s="6">
        <f>SUM(L78:L78)</f>
        <v>0</v>
      </c>
      <c r="M77" s="45"/>
      <c r="AI77" s="45"/>
      <c r="AS77" s="6">
        <f>SUM(AJ78:AJ78)</f>
        <v>0</v>
      </c>
      <c r="AT77" s="6">
        <f>SUM(AK78:AK78)</f>
        <v>0</v>
      </c>
      <c r="AU77" s="6">
        <f>SUM(AL78:AL78)</f>
        <v>0</v>
      </c>
    </row>
    <row r="78" spans="1:62" ht="12.75">
      <c r="A78" s="1" t="s">
        <v>52</v>
      </c>
      <c r="B78" s="1"/>
      <c r="C78" s="1" t="s">
        <v>133</v>
      </c>
      <c r="D78" s="1" t="s">
        <v>217</v>
      </c>
      <c r="E78" s="1" t="s">
        <v>247</v>
      </c>
      <c r="F78" s="3">
        <f>'Rozpočet - vybrané sloupce'!AR77</f>
        <v>0.08</v>
      </c>
      <c r="G78" s="3">
        <f>'Rozpočet - vybrané sloupce'!AW77</f>
        <v>0</v>
      </c>
      <c r="H78" s="3">
        <f>F78*AO78</f>
        <v>0</v>
      </c>
      <c r="I78" s="3">
        <f>F78*AP78</f>
        <v>0</v>
      </c>
      <c r="J78" s="3">
        <f>F78*G78</f>
        <v>0</v>
      </c>
      <c r="K78" s="3">
        <v>0</v>
      </c>
      <c r="L78" s="3">
        <f>F78*K78</f>
        <v>0</v>
      </c>
      <c r="M78" s="49" t="s">
        <v>320</v>
      </c>
      <c r="Z78" s="52">
        <f>IF(AQ78="5",BJ78,0)</f>
        <v>0</v>
      </c>
      <c r="AB78" s="52">
        <f>IF(AQ78="1",BH78,0)</f>
        <v>0</v>
      </c>
      <c r="AC78" s="52">
        <f>IF(AQ78="1",BI78,0)</f>
        <v>0</v>
      </c>
      <c r="AD78" s="52">
        <f>IF(AQ78="7",BH78,0)</f>
        <v>0</v>
      </c>
      <c r="AE78" s="52">
        <f>IF(AQ78="7",BI78,0)</f>
        <v>0</v>
      </c>
      <c r="AF78" s="52">
        <f>IF(AQ78="2",BH78,0)</f>
        <v>0</v>
      </c>
      <c r="AG78" s="52">
        <f>IF(AQ78="2",BI78,0)</f>
        <v>0</v>
      </c>
      <c r="AH78" s="52">
        <f>IF(AQ78="0",BJ78,0)</f>
        <v>0</v>
      </c>
      <c r="AI78" s="45"/>
      <c r="AJ78" s="3">
        <f>IF(AN78=0,J78,0)</f>
        <v>0</v>
      </c>
      <c r="AK78" s="3">
        <f>IF(AN78=15,J78,0)</f>
        <v>0</v>
      </c>
      <c r="AL78" s="3">
        <f>IF(AN78=21,J78,0)</f>
        <v>0</v>
      </c>
      <c r="AN78" s="52">
        <v>21</v>
      </c>
      <c r="AO78" s="52">
        <f>G78*0</f>
        <v>0</v>
      </c>
      <c r="AP78" s="52">
        <f>G78*(1-0)</f>
        <v>0</v>
      </c>
      <c r="AQ78" s="49" t="s">
        <v>11</v>
      </c>
      <c r="AV78" s="52">
        <f>AW78+AX78</f>
        <v>0</v>
      </c>
      <c r="AW78" s="52">
        <f>F78*AO78</f>
        <v>0</v>
      </c>
      <c r="AX78" s="52">
        <f>F78*AP78</f>
        <v>0</v>
      </c>
      <c r="AY78" s="53" t="s">
        <v>352</v>
      </c>
      <c r="AZ78" s="53" t="s">
        <v>366</v>
      </c>
      <c r="BA78" s="45" t="s">
        <v>368</v>
      </c>
      <c r="BC78" s="52">
        <f>AW78+AX78</f>
        <v>0</v>
      </c>
      <c r="BD78" s="52">
        <f>G78/(100-BE78)*100</f>
        <v>0</v>
      </c>
      <c r="BE78" s="52">
        <v>0</v>
      </c>
      <c r="BF78" s="52">
        <f>L78</f>
        <v>0</v>
      </c>
      <c r="BH78" s="3">
        <f>F78*AO78</f>
        <v>0</v>
      </c>
      <c r="BI78" s="3">
        <f>F78*AP78</f>
        <v>0</v>
      </c>
      <c r="BJ78" s="3">
        <f>F78*G78</f>
        <v>0</v>
      </c>
    </row>
    <row r="79" spans="1:47" ht="12.75">
      <c r="A79" s="30"/>
      <c r="B79" s="36"/>
      <c r="C79" s="36" t="s">
        <v>134</v>
      </c>
      <c r="D79" s="36" t="s">
        <v>188</v>
      </c>
      <c r="E79" s="30" t="s">
        <v>6</v>
      </c>
      <c r="F79" s="30" t="s">
        <v>6</v>
      </c>
      <c r="G79" s="30" t="s">
        <v>6</v>
      </c>
      <c r="H79" s="6">
        <f>SUM(H80:H80)</f>
        <v>0</v>
      </c>
      <c r="I79" s="6">
        <f>SUM(I80:I80)</f>
        <v>0</v>
      </c>
      <c r="J79" s="6">
        <f>SUM(J80:J80)</f>
        <v>0</v>
      </c>
      <c r="K79" s="45"/>
      <c r="L79" s="6">
        <f>SUM(L80:L80)</f>
        <v>0</v>
      </c>
      <c r="M79" s="45"/>
      <c r="AI79" s="45"/>
      <c r="AS79" s="6">
        <f>SUM(AJ80:AJ80)</f>
        <v>0</v>
      </c>
      <c r="AT79" s="6">
        <f>SUM(AK80:AK80)</f>
        <v>0</v>
      </c>
      <c r="AU79" s="6">
        <f>SUM(AL80:AL80)</f>
        <v>0</v>
      </c>
    </row>
    <row r="80" spans="1:62" ht="12.75">
      <c r="A80" s="1" t="s">
        <v>53</v>
      </c>
      <c r="B80" s="1"/>
      <c r="C80" s="1" t="s">
        <v>135</v>
      </c>
      <c r="D80" s="1" t="s">
        <v>218</v>
      </c>
      <c r="E80" s="1" t="s">
        <v>247</v>
      </c>
      <c r="F80" s="3">
        <f>'Rozpočet - vybrané sloupce'!AR79</f>
        <v>0.45369</v>
      </c>
      <c r="G80" s="3">
        <f>'Rozpočet - vybrané sloupce'!AW79</f>
        <v>0</v>
      </c>
      <c r="H80" s="3">
        <f>F80*AO80</f>
        <v>0</v>
      </c>
      <c r="I80" s="3">
        <f>F80*AP80</f>
        <v>0</v>
      </c>
      <c r="J80" s="3">
        <f>F80*G80</f>
        <v>0</v>
      </c>
      <c r="K80" s="3">
        <v>0</v>
      </c>
      <c r="L80" s="3">
        <f>F80*K80</f>
        <v>0</v>
      </c>
      <c r="M80" s="49" t="s">
        <v>320</v>
      </c>
      <c r="Z80" s="52">
        <f>IF(AQ80="5",BJ80,0)</f>
        <v>0</v>
      </c>
      <c r="AB80" s="52">
        <f>IF(AQ80="1",BH80,0)</f>
        <v>0</v>
      </c>
      <c r="AC80" s="52">
        <f>IF(AQ80="1",BI80,0)</f>
        <v>0</v>
      </c>
      <c r="AD80" s="52">
        <f>IF(AQ80="7",BH80,0)</f>
        <v>0</v>
      </c>
      <c r="AE80" s="52">
        <f>IF(AQ80="7",BI80,0)</f>
        <v>0</v>
      </c>
      <c r="AF80" s="52">
        <f>IF(AQ80="2",BH80,0)</f>
        <v>0</v>
      </c>
      <c r="AG80" s="52">
        <f>IF(AQ80="2",BI80,0)</f>
        <v>0</v>
      </c>
      <c r="AH80" s="52">
        <f>IF(AQ80="0",BJ80,0)</f>
        <v>0</v>
      </c>
      <c r="AI80" s="45"/>
      <c r="AJ80" s="3">
        <f>IF(AN80=0,J80,0)</f>
        <v>0</v>
      </c>
      <c r="AK80" s="3">
        <f>IF(AN80=15,J80,0)</f>
        <v>0</v>
      </c>
      <c r="AL80" s="3">
        <f>IF(AN80=21,J80,0)</f>
        <v>0</v>
      </c>
      <c r="AN80" s="52">
        <v>21</v>
      </c>
      <c r="AO80" s="52">
        <f>G80*0</f>
        <v>0</v>
      </c>
      <c r="AP80" s="52">
        <f>G80*(1-0)</f>
        <v>0</v>
      </c>
      <c r="AQ80" s="49" t="s">
        <v>11</v>
      </c>
      <c r="AV80" s="52">
        <f>AW80+AX80</f>
        <v>0</v>
      </c>
      <c r="AW80" s="52">
        <f>F80*AO80</f>
        <v>0</v>
      </c>
      <c r="AX80" s="52">
        <f>F80*AP80</f>
        <v>0</v>
      </c>
      <c r="AY80" s="53" t="s">
        <v>353</v>
      </c>
      <c r="AZ80" s="53" t="s">
        <v>366</v>
      </c>
      <c r="BA80" s="45" t="s">
        <v>368</v>
      </c>
      <c r="BC80" s="52">
        <f>AW80+AX80</f>
        <v>0</v>
      </c>
      <c r="BD80" s="52">
        <f>G80/(100-BE80)*100</f>
        <v>0</v>
      </c>
      <c r="BE80" s="52">
        <v>0</v>
      </c>
      <c r="BF80" s="52">
        <f>L80</f>
        <v>0</v>
      </c>
      <c r="BH80" s="3">
        <f>F80*AO80</f>
        <v>0</v>
      </c>
      <c r="BI80" s="3">
        <f>F80*AP80</f>
        <v>0</v>
      </c>
      <c r="BJ80" s="3">
        <f>F80*G80</f>
        <v>0</v>
      </c>
    </row>
    <row r="81" spans="1:47" ht="12.75">
      <c r="A81" s="30"/>
      <c r="B81" s="36"/>
      <c r="C81" s="36" t="s">
        <v>136</v>
      </c>
      <c r="D81" s="36" t="s">
        <v>193</v>
      </c>
      <c r="E81" s="30" t="s">
        <v>6</v>
      </c>
      <c r="F81" s="30" t="s">
        <v>6</v>
      </c>
      <c r="G81" s="30" t="s">
        <v>6</v>
      </c>
      <c r="H81" s="6">
        <f>SUM(H82:H82)</f>
        <v>0</v>
      </c>
      <c r="I81" s="6">
        <f>SUM(I82:I82)</f>
        <v>0</v>
      </c>
      <c r="J81" s="6">
        <f>SUM(J82:J82)</f>
        <v>0</v>
      </c>
      <c r="K81" s="45"/>
      <c r="L81" s="6">
        <f>SUM(L82:L82)</f>
        <v>0</v>
      </c>
      <c r="M81" s="45"/>
      <c r="AI81" s="45"/>
      <c r="AS81" s="6">
        <f>SUM(AJ82:AJ82)</f>
        <v>0</v>
      </c>
      <c r="AT81" s="6">
        <f>SUM(AK82:AK82)</f>
        <v>0</v>
      </c>
      <c r="AU81" s="6">
        <f>SUM(AL82:AL82)</f>
        <v>0</v>
      </c>
    </row>
    <row r="82" spans="1:62" ht="12.75">
      <c r="A82" s="1" t="s">
        <v>54</v>
      </c>
      <c r="B82" s="1"/>
      <c r="C82" s="1" t="s">
        <v>137</v>
      </c>
      <c r="D82" s="1" t="s">
        <v>219</v>
      </c>
      <c r="E82" s="1" t="s">
        <v>247</v>
      </c>
      <c r="F82" s="3">
        <f>'Rozpočet - vybrané sloupce'!AR81</f>
        <v>1.28056</v>
      </c>
      <c r="G82" s="3">
        <f>'Rozpočet - vybrané sloupce'!AW81</f>
        <v>0</v>
      </c>
      <c r="H82" s="3">
        <f>F82*AO82</f>
        <v>0</v>
      </c>
      <c r="I82" s="3">
        <f>F82*AP82</f>
        <v>0</v>
      </c>
      <c r="J82" s="3">
        <f>F82*G82</f>
        <v>0</v>
      </c>
      <c r="K82" s="3">
        <v>0</v>
      </c>
      <c r="L82" s="3">
        <f>F82*K82</f>
        <v>0</v>
      </c>
      <c r="M82" s="49" t="s">
        <v>320</v>
      </c>
      <c r="Z82" s="52">
        <f>IF(AQ82="5",BJ82,0)</f>
        <v>0</v>
      </c>
      <c r="AB82" s="52">
        <f>IF(AQ82="1",BH82,0)</f>
        <v>0</v>
      </c>
      <c r="AC82" s="52">
        <f>IF(AQ82="1",BI82,0)</f>
        <v>0</v>
      </c>
      <c r="AD82" s="52">
        <f>IF(AQ82="7",BH82,0)</f>
        <v>0</v>
      </c>
      <c r="AE82" s="52">
        <f>IF(AQ82="7",BI82,0)</f>
        <v>0</v>
      </c>
      <c r="AF82" s="52">
        <f>IF(AQ82="2",BH82,0)</f>
        <v>0</v>
      </c>
      <c r="AG82" s="52">
        <f>IF(AQ82="2",BI82,0)</f>
        <v>0</v>
      </c>
      <c r="AH82" s="52">
        <f>IF(AQ82="0",BJ82,0)</f>
        <v>0</v>
      </c>
      <c r="AI82" s="45"/>
      <c r="AJ82" s="3">
        <f>IF(AN82=0,J82,0)</f>
        <v>0</v>
      </c>
      <c r="AK82" s="3">
        <f>IF(AN82=15,J82,0)</f>
        <v>0</v>
      </c>
      <c r="AL82" s="3">
        <f>IF(AN82=21,J82,0)</f>
        <v>0</v>
      </c>
      <c r="AN82" s="52">
        <v>21</v>
      </c>
      <c r="AO82" s="52">
        <f>G82*0</f>
        <v>0</v>
      </c>
      <c r="AP82" s="52">
        <f>G82*(1-0)</f>
        <v>0</v>
      </c>
      <c r="AQ82" s="49" t="s">
        <v>11</v>
      </c>
      <c r="AV82" s="52">
        <f>AW82+AX82</f>
        <v>0</v>
      </c>
      <c r="AW82" s="52">
        <f>F82*AO82</f>
        <v>0</v>
      </c>
      <c r="AX82" s="52">
        <f>F82*AP82</f>
        <v>0</v>
      </c>
      <c r="AY82" s="53" t="s">
        <v>354</v>
      </c>
      <c r="AZ82" s="53" t="s">
        <v>366</v>
      </c>
      <c r="BA82" s="45" t="s">
        <v>368</v>
      </c>
      <c r="BC82" s="52">
        <f>AW82+AX82</f>
        <v>0</v>
      </c>
      <c r="BD82" s="52">
        <f>G82/(100-BE82)*100</f>
        <v>0</v>
      </c>
      <c r="BE82" s="52">
        <v>0</v>
      </c>
      <c r="BF82" s="52">
        <f>L82</f>
        <v>0</v>
      </c>
      <c r="BH82" s="3">
        <f>F82*AO82</f>
        <v>0</v>
      </c>
      <c r="BI82" s="3">
        <f>F82*AP82</f>
        <v>0</v>
      </c>
      <c r="BJ82" s="3">
        <f>F82*G82</f>
        <v>0</v>
      </c>
    </row>
    <row r="83" spans="1:47" ht="12.75">
      <c r="A83" s="30"/>
      <c r="B83" s="36"/>
      <c r="C83" s="36" t="s">
        <v>138</v>
      </c>
      <c r="D83" s="36" t="s">
        <v>220</v>
      </c>
      <c r="E83" s="30" t="s">
        <v>6</v>
      </c>
      <c r="F83" s="30" t="s">
        <v>6</v>
      </c>
      <c r="G83" s="30" t="s">
        <v>6</v>
      </c>
      <c r="H83" s="6">
        <f>SUM(H84:H84)</f>
        <v>0</v>
      </c>
      <c r="I83" s="6">
        <f>SUM(I84:I84)</f>
        <v>0</v>
      </c>
      <c r="J83" s="6">
        <f>SUM(J84:J84)</f>
        <v>0</v>
      </c>
      <c r="K83" s="45"/>
      <c r="L83" s="6">
        <f>SUM(L84:L84)</f>
        <v>0</v>
      </c>
      <c r="M83" s="45"/>
      <c r="AI83" s="45"/>
      <c r="AS83" s="6">
        <f>SUM(AJ84:AJ84)</f>
        <v>0</v>
      </c>
      <c r="AT83" s="6">
        <f>SUM(AK84:AK84)</f>
        <v>0</v>
      </c>
      <c r="AU83" s="6">
        <f>SUM(AL84:AL84)</f>
        <v>0</v>
      </c>
    </row>
    <row r="84" spans="1:62" ht="12.75">
      <c r="A84" s="1" t="s">
        <v>55</v>
      </c>
      <c r="B84" s="1"/>
      <c r="C84" s="1" t="s">
        <v>139</v>
      </c>
      <c r="D84" s="1" t="s">
        <v>221</v>
      </c>
      <c r="E84" s="1" t="s">
        <v>247</v>
      </c>
      <c r="F84" s="3">
        <f>'Rozpočet - vybrané sloupce'!AR83</f>
        <v>2.03359</v>
      </c>
      <c r="G84" s="3">
        <f>'Rozpočet - vybrané sloupce'!AW83</f>
        <v>0</v>
      </c>
      <c r="H84" s="3">
        <f>F84*AO84</f>
        <v>0</v>
      </c>
      <c r="I84" s="3">
        <f>F84*AP84</f>
        <v>0</v>
      </c>
      <c r="J84" s="3">
        <f>F84*G84</f>
        <v>0</v>
      </c>
      <c r="K84" s="3">
        <v>0</v>
      </c>
      <c r="L84" s="3">
        <f>F84*K84</f>
        <v>0</v>
      </c>
      <c r="M84" s="49" t="s">
        <v>320</v>
      </c>
      <c r="Z84" s="52">
        <f>IF(AQ84="5",BJ84,0)</f>
        <v>0</v>
      </c>
      <c r="AB84" s="52">
        <f>IF(AQ84="1",BH84,0)</f>
        <v>0</v>
      </c>
      <c r="AC84" s="52">
        <f>IF(AQ84="1",BI84,0)</f>
        <v>0</v>
      </c>
      <c r="AD84" s="52">
        <f>IF(AQ84="7",BH84,0)</f>
        <v>0</v>
      </c>
      <c r="AE84" s="52">
        <f>IF(AQ84="7",BI84,0)</f>
        <v>0</v>
      </c>
      <c r="AF84" s="52">
        <f>IF(AQ84="2",BH84,0)</f>
        <v>0</v>
      </c>
      <c r="AG84" s="52">
        <f>IF(AQ84="2",BI84,0)</f>
        <v>0</v>
      </c>
      <c r="AH84" s="52">
        <f>IF(AQ84="0",BJ84,0)</f>
        <v>0</v>
      </c>
      <c r="AI84" s="45"/>
      <c r="AJ84" s="3">
        <f>IF(AN84=0,J84,0)</f>
        <v>0</v>
      </c>
      <c r="AK84" s="3">
        <f>IF(AN84=15,J84,0)</f>
        <v>0</v>
      </c>
      <c r="AL84" s="3">
        <f>IF(AN84=21,J84,0)</f>
        <v>0</v>
      </c>
      <c r="AN84" s="52">
        <v>21</v>
      </c>
      <c r="AO84" s="52">
        <f>G84*0</f>
        <v>0</v>
      </c>
      <c r="AP84" s="52">
        <f>G84*(1-0)</f>
        <v>0</v>
      </c>
      <c r="AQ84" s="49" t="s">
        <v>11</v>
      </c>
      <c r="AV84" s="52">
        <f>AW84+AX84</f>
        <v>0</v>
      </c>
      <c r="AW84" s="52">
        <f>F84*AO84</f>
        <v>0</v>
      </c>
      <c r="AX84" s="52">
        <f>F84*AP84</f>
        <v>0</v>
      </c>
      <c r="AY84" s="53" t="s">
        <v>355</v>
      </c>
      <c r="AZ84" s="53" t="s">
        <v>366</v>
      </c>
      <c r="BA84" s="45" t="s">
        <v>368</v>
      </c>
      <c r="BC84" s="52">
        <f>AW84+AX84</f>
        <v>0</v>
      </c>
      <c r="BD84" s="52">
        <f>G84/(100-BE84)*100</f>
        <v>0</v>
      </c>
      <c r="BE84" s="52">
        <v>0</v>
      </c>
      <c r="BF84" s="52">
        <f>L84</f>
        <v>0</v>
      </c>
      <c r="BH84" s="3">
        <f>F84*AO84</f>
        <v>0</v>
      </c>
      <c r="BI84" s="3">
        <f>F84*AP84</f>
        <v>0</v>
      </c>
      <c r="BJ84" s="3">
        <f>F84*G84</f>
        <v>0</v>
      </c>
    </row>
    <row r="85" spans="1:47" ht="12.75">
      <c r="A85" s="30"/>
      <c r="B85" s="36"/>
      <c r="C85" s="36" t="s">
        <v>140</v>
      </c>
      <c r="D85" s="36" t="s">
        <v>222</v>
      </c>
      <c r="E85" s="30" t="s">
        <v>6</v>
      </c>
      <c r="F85" s="30" t="s">
        <v>6</v>
      </c>
      <c r="G85" s="30" t="s">
        <v>6</v>
      </c>
      <c r="H85" s="6">
        <f>SUM(H86:H86)</f>
        <v>0</v>
      </c>
      <c r="I85" s="6">
        <f>SUM(I86:I86)</f>
        <v>0</v>
      </c>
      <c r="J85" s="6">
        <f>SUM(J86:J86)</f>
        <v>0</v>
      </c>
      <c r="K85" s="45"/>
      <c r="L85" s="6">
        <f>SUM(L86:L86)</f>
        <v>1E-05</v>
      </c>
      <c r="M85" s="45"/>
      <c r="AI85" s="45"/>
      <c r="AS85" s="6">
        <f>SUM(AJ86:AJ86)</f>
        <v>0</v>
      </c>
      <c r="AT85" s="6">
        <f>SUM(AK86:AK86)</f>
        <v>0</v>
      </c>
      <c r="AU85" s="6">
        <f>SUM(AL86:AL86)</f>
        <v>0</v>
      </c>
    </row>
    <row r="86" spans="1:62" ht="12.75">
      <c r="A86" s="1" t="s">
        <v>56</v>
      </c>
      <c r="B86" s="1"/>
      <c r="C86" s="1" t="s">
        <v>141</v>
      </c>
      <c r="D86" s="1" t="s">
        <v>223</v>
      </c>
      <c r="E86" s="1" t="s">
        <v>245</v>
      </c>
      <c r="F86" s="3">
        <f>'Rozpočet - vybrané sloupce'!AR85</f>
        <v>1</v>
      </c>
      <c r="G86" s="3">
        <f>'Rozpočet - vybrané sloupce'!AW85</f>
        <v>0</v>
      </c>
      <c r="H86" s="3">
        <f>F86*AO86</f>
        <v>0</v>
      </c>
      <c r="I86" s="3">
        <f>F86*AP86</f>
        <v>0</v>
      </c>
      <c r="J86" s="3">
        <f>F86*G86</f>
        <v>0</v>
      </c>
      <c r="K86" s="3">
        <v>1E-05</v>
      </c>
      <c r="L86" s="3">
        <f>F86*K86</f>
        <v>1E-05</v>
      </c>
      <c r="M86" s="49" t="s">
        <v>320</v>
      </c>
      <c r="Z86" s="52">
        <f>IF(AQ86="5",BJ86,0)</f>
        <v>0</v>
      </c>
      <c r="AB86" s="52">
        <f>IF(AQ86="1",BH86,0)</f>
        <v>0</v>
      </c>
      <c r="AC86" s="52">
        <f>IF(AQ86="1",BI86,0)</f>
        <v>0</v>
      </c>
      <c r="AD86" s="52">
        <f>IF(AQ86="7",BH86,0)</f>
        <v>0</v>
      </c>
      <c r="AE86" s="52">
        <f>IF(AQ86="7",BI86,0)</f>
        <v>0</v>
      </c>
      <c r="AF86" s="52">
        <f>IF(AQ86="2",BH86,0)</f>
        <v>0</v>
      </c>
      <c r="AG86" s="52">
        <f>IF(AQ86="2",BI86,0)</f>
        <v>0</v>
      </c>
      <c r="AH86" s="52">
        <f>IF(AQ86="0",BJ86,0)</f>
        <v>0</v>
      </c>
      <c r="AI86" s="45"/>
      <c r="AJ86" s="3">
        <f>IF(AN86=0,J86,0)</f>
        <v>0</v>
      </c>
      <c r="AK86" s="3">
        <f>IF(AN86=15,J86,0)</f>
        <v>0</v>
      </c>
      <c r="AL86" s="3">
        <f>IF(AN86=21,J86,0)</f>
        <v>0</v>
      </c>
      <c r="AN86" s="52">
        <v>21</v>
      </c>
      <c r="AO86" s="52">
        <f>G86*0.104898095238095</f>
        <v>0</v>
      </c>
      <c r="AP86" s="52">
        <f>G86*(1-0.104898095238095)</f>
        <v>0</v>
      </c>
      <c r="AQ86" s="49" t="s">
        <v>8</v>
      </c>
      <c r="AV86" s="52">
        <f>AW86+AX86</f>
        <v>0</v>
      </c>
      <c r="AW86" s="52">
        <f>F86*AO86</f>
        <v>0</v>
      </c>
      <c r="AX86" s="52">
        <f>F86*AP86</f>
        <v>0</v>
      </c>
      <c r="AY86" s="53" t="s">
        <v>356</v>
      </c>
      <c r="AZ86" s="53" t="s">
        <v>366</v>
      </c>
      <c r="BA86" s="45" t="s">
        <v>368</v>
      </c>
      <c r="BC86" s="52">
        <f>AW86+AX86</f>
        <v>0</v>
      </c>
      <c r="BD86" s="52">
        <f>G86/(100-BE86)*100</f>
        <v>0</v>
      </c>
      <c r="BE86" s="52">
        <v>0</v>
      </c>
      <c r="BF86" s="52">
        <f>L86</f>
        <v>1E-05</v>
      </c>
      <c r="BH86" s="3">
        <f>F86*AO86</f>
        <v>0</v>
      </c>
      <c r="BI86" s="3">
        <f>F86*AP86</f>
        <v>0</v>
      </c>
      <c r="BJ86" s="3">
        <f>F86*G86</f>
        <v>0</v>
      </c>
    </row>
    <row r="87" spans="1:47" ht="12.75">
      <c r="A87" s="30"/>
      <c r="B87" s="36"/>
      <c r="C87" s="36" t="s">
        <v>142</v>
      </c>
      <c r="D87" s="36" t="s">
        <v>224</v>
      </c>
      <c r="E87" s="30" t="s">
        <v>6</v>
      </c>
      <c r="F87" s="30" t="s">
        <v>6</v>
      </c>
      <c r="G87" s="30" t="s">
        <v>6</v>
      </c>
      <c r="H87" s="6">
        <f>SUM(H88:H93)</f>
        <v>0</v>
      </c>
      <c r="I87" s="6">
        <f>SUM(I88:I93)</f>
        <v>0</v>
      </c>
      <c r="J87" s="6">
        <f>SUM(J88:J93)</f>
        <v>0</v>
      </c>
      <c r="K87" s="45"/>
      <c r="L87" s="6">
        <f>SUM(L88:L93)</f>
        <v>0</v>
      </c>
      <c r="M87" s="45"/>
      <c r="AI87" s="45"/>
      <c r="AS87" s="6">
        <f>SUM(AJ88:AJ93)</f>
        <v>0</v>
      </c>
      <c r="AT87" s="6">
        <f>SUM(AK88:AK93)</f>
        <v>0</v>
      </c>
      <c r="AU87" s="6">
        <f>SUM(AL88:AL93)</f>
        <v>0</v>
      </c>
    </row>
    <row r="88" spans="1:62" ht="12.75">
      <c r="A88" s="1" t="s">
        <v>57</v>
      </c>
      <c r="B88" s="1"/>
      <c r="C88" s="1" t="s">
        <v>143</v>
      </c>
      <c r="D88" s="1" t="s">
        <v>225</v>
      </c>
      <c r="E88" s="1" t="s">
        <v>247</v>
      </c>
      <c r="F88" s="3">
        <f>'Rozpočet - vybrané sloupce'!AR87</f>
        <v>4.31243</v>
      </c>
      <c r="G88" s="3">
        <f>'Rozpočet - vybrané sloupce'!AW87</f>
        <v>0</v>
      </c>
      <c r="H88" s="3">
        <f aca="true" t="shared" si="24" ref="H88:H93">F88*AO88</f>
        <v>0</v>
      </c>
      <c r="I88" s="3">
        <f aca="true" t="shared" si="25" ref="I88:I93">F88*AP88</f>
        <v>0</v>
      </c>
      <c r="J88" s="3">
        <f aca="true" t="shared" si="26" ref="J88:J93">F88*G88</f>
        <v>0</v>
      </c>
      <c r="K88" s="3">
        <v>0</v>
      </c>
      <c r="L88" s="3">
        <f aca="true" t="shared" si="27" ref="L88:L93">F88*K88</f>
        <v>0</v>
      </c>
      <c r="M88" s="49" t="s">
        <v>320</v>
      </c>
      <c r="Z88" s="52">
        <f aca="true" t="shared" si="28" ref="Z88:Z93">IF(AQ88="5",BJ88,0)</f>
        <v>0</v>
      </c>
      <c r="AB88" s="52">
        <f aca="true" t="shared" si="29" ref="AB88:AB93">IF(AQ88="1",BH88,0)</f>
        <v>0</v>
      </c>
      <c r="AC88" s="52">
        <f aca="true" t="shared" si="30" ref="AC88:AC93">IF(AQ88="1",BI88,0)</f>
        <v>0</v>
      </c>
      <c r="AD88" s="52">
        <f aca="true" t="shared" si="31" ref="AD88:AD93">IF(AQ88="7",BH88,0)</f>
        <v>0</v>
      </c>
      <c r="AE88" s="52">
        <f aca="true" t="shared" si="32" ref="AE88:AE93">IF(AQ88="7",BI88,0)</f>
        <v>0</v>
      </c>
      <c r="AF88" s="52">
        <f aca="true" t="shared" si="33" ref="AF88:AF93">IF(AQ88="2",BH88,0)</f>
        <v>0</v>
      </c>
      <c r="AG88" s="52">
        <f aca="true" t="shared" si="34" ref="AG88:AG93">IF(AQ88="2",BI88,0)</f>
        <v>0</v>
      </c>
      <c r="AH88" s="52">
        <f aca="true" t="shared" si="35" ref="AH88:AH93">IF(AQ88="0",BJ88,0)</f>
        <v>0</v>
      </c>
      <c r="AI88" s="45"/>
      <c r="AJ88" s="3">
        <f aca="true" t="shared" si="36" ref="AJ88:AJ93">IF(AN88=0,J88,0)</f>
        <v>0</v>
      </c>
      <c r="AK88" s="3">
        <f aca="true" t="shared" si="37" ref="AK88:AK93">IF(AN88=15,J88,0)</f>
        <v>0</v>
      </c>
      <c r="AL88" s="3">
        <f aca="true" t="shared" si="38" ref="AL88:AL93">IF(AN88=21,J88,0)</f>
        <v>0</v>
      </c>
      <c r="AN88" s="52">
        <v>21</v>
      </c>
      <c r="AO88" s="52">
        <f aca="true" t="shared" si="39" ref="AO88:AO93">G88*0</f>
        <v>0</v>
      </c>
      <c r="AP88" s="52">
        <f aca="true" t="shared" si="40" ref="AP88:AP93">G88*(1-0)</f>
        <v>0</v>
      </c>
      <c r="AQ88" s="49" t="s">
        <v>11</v>
      </c>
      <c r="AV88" s="52">
        <f aca="true" t="shared" si="41" ref="AV88:AV93">AW88+AX88</f>
        <v>0</v>
      </c>
      <c r="AW88" s="52">
        <f aca="true" t="shared" si="42" ref="AW88:AW93">F88*AO88</f>
        <v>0</v>
      </c>
      <c r="AX88" s="52">
        <f aca="true" t="shared" si="43" ref="AX88:AX93">F88*AP88</f>
        <v>0</v>
      </c>
      <c r="AY88" s="53" t="s">
        <v>357</v>
      </c>
      <c r="AZ88" s="53" t="s">
        <v>366</v>
      </c>
      <c r="BA88" s="45" t="s">
        <v>368</v>
      </c>
      <c r="BC88" s="52">
        <f aca="true" t="shared" si="44" ref="BC88:BC93">AW88+AX88</f>
        <v>0</v>
      </c>
      <c r="BD88" s="52">
        <f aca="true" t="shared" si="45" ref="BD88:BD93">G88/(100-BE88)*100</f>
        <v>0</v>
      </c>
      <c r="BE88" s="52">
        <v>0</v>
      </c>
      <c r="BF88" s="52">
        <f aca="true" t="shared" si="46" ref="BF88:BF93">L88</f>
        <v>0</v>
      </c>
      <c r="BH88" s="3">
        <f aca="true" t="shared" si="47" ref="BH88:BH93">F88*AO88</f>
        <v>0</v>
      </c>
      <c r="BI88" s="3">
        <f aca="true" t="shared" si="48" ref="BI88:BI93">F88*AP88</f>
        <v>0</v>
      </c>
      <c r="BJ88" s="3">
        <f aca="true" t="shared" si="49" ref="BJ88:BJ93">F88*G88</f>
        <v>0</v>
      </c>
    </row>
    <row r="89" spans="1:62" ht="12.75">
      <c r="A89" s="1" t="s">
        <v>58</v>
      </c>
      <c r="B89" s="1"/>
      <c r="C89" s="1" t="s">
        <v>144</v>
      </c>
      <c r="D89" s="1" t="s">
        <v>226</v>
      </c>
      <c r="E89" s="1" t="s">
        <v>247</v>
      </c>
      <c r="F89" s="3">
        <f>'Rozpočet - vybrané sloupce'!AR88</f>
        <v>4.31243</v>
      </c>
      <c r="G89" s="3">
        <f>'Rozpočet - vybrané sloupce'!AW88</f>
        <v>0</v>
      </c>
      <c r="H89" s="3">
        <f t="shared" si="24"/>
        <v>0</v>
      </c>
      <c r="I89" s="3">
        <f t="shared" si="25"/>
        <v>0</v>
      </c>
      <c r="J89" s="3">
        <f t="shared" si="26"/>
        <v>0</v>
      </c>
      <c r="K89" s="3">
        <v>0</v>
      </c>
      <c r="L89" s="3">
        <f t="shared" si="27"/>
        <v>0</v>
      </c>
      <c r="M89" s="49" t="s">
        <v>320</v>
      </c>
      <c r="Z89" s="52">
        <f t="shared" si="28"/>
        <v>0</v>
      </c>
      <c r="AB89" s="52">
        <f t="shared" si="29"/>
        <v>0</v>
      </c>
      <c r="AC89" s="52">
        <f t="shared" si="30"/>
        <v>0</v>
      </c>
      <c r="AD89" s="52">
        <f t="shared" si="31"/>
        <v>0</v>
      </c>
      <c r="AE89" s="52">
        <f t="shared" si="32"/>
        <v>0</v>
      </c>
      <c r="AF89" s="52">
        <f t="shared" si="33"/>
        <v>0</v>
      </c>
      <c r="AG89" s="52">
        <f t="shared" si="34"/>
        <v>0</v>
      </c>
      <c r="AH89" s="52">
        <f t="shared" si="35"/>
        <v>0</v>
      </c>
      <c r="AI89" s="45"/>
      <c r="AJ89" s="3">
        <f t="shared" si="36"/>
        <v>0</v>
      </c>
      <c r="AK89" s="3">
        <f t="shared" si="37"/>
        <v>0</v>
      </c>
      <c r="AL89" s="3">
        <f t="shared" si="38"/>
        <v>0</v>
      </c>
      <c r="AN89" s="52">
        <v>21</v>
      </c>
      <c r="AO89" s="52">
        <f t="shared" si="39"/>
        <v>0</v>
      </c>
      <c r="AP89" s="52">
        <f t="shared" si="40"/>
        <v>0</v>
      </c>
      <c r="AQ89" s="49" t="s">
        <v>11</v>
      </c>
      <c r="AV89" s="52">
        <f t="shared" si="41"/>
        <v>0</v>
      </c>
      <c r="AW89" s="52">
        <f t="shared" si="42"/>
        <v>0</v>
      </c>
      <c r="AX89" s="52">
        <f t="shared" si="43"/>
        <v>0</v>
      </c>
      <c r="AY89" s="53" t="s">
        <v>357</v>
      </c>
      <c r="AZ89" s="53" t="s">
        <v>366</v>
      </c>
      <c r="BA89" s="45" t="s">
        <v>368</v>
      </c>
      <c r="BC89" s="52">
        <f t="shared" si="44"/>
        <v>0</v>
      </c>
      <c r="BD89" s="52">
        <f t="shared" si="45"/>
        <v>0</v>
      </c>
      <c r="BE89" s="52">
        <v>0</v>
      </c>
      <c r="BF89" s="52">
        <f t="shared" si="46"/>
        <v>0</v>
      </c>
      <c r="BH89" s="3">
        <f t="shared" si="47"/>
        <v>0</v>
      </c>
      <c r="BI89" s="3">
        <f t="shared" si="48"/>
        <v>0</v>
      </c>
      <c r="BJ89" s="3">
        <f t="shared" si="49"/>
        <v>0</v>
      </c>
    </row>
    <row r="90" spans="1:62" ht="12.75">
      <c r="A90" s="1" t="s">
        <v>59</v>
      </c>
      <c r="B90" s="1"/>
      <c r="C90" s="1" t="s">
        <v>145</v>
      </c>
      <c r="D90" s="1" t="s">
        <v>227</v>
      </c>
      <c r="E90" s="1" t="s">
        <v>247</v>
      </c>
      <c r="F90" s="3">
        <f>'Rozpočet - vybrané sloupce'!AR89</f>
        <v>4.31243</v>
      </c>
      <c r="G90" s="3">
        <f>'Rozpočet - vybrané sloupce'!AW89</f>
        <v>0</v>
      </c>
      <c r="H90" s="3">
        <f t="shared" si="24"/>
        <v>0</v>
      </c>
      <c r="I90" s="3">
        <f t="shared" si="25"/>
        <v>0</v>
      </c>
      <c r="J90" s="3">
        <f t="shared" si="26"/>
        <v>0</v>
      </c>
      <c r="K90" s="3">
        <v>0</v>
      </c>
      <c r="L90" s="3">
        <f t="shared" si="27"/>
        <v>0</v>
      </c>
      <c r="M90" s="49" t="s">
        <v>320</v>
      </c>
      <c r="Z90" s="52">
        <f t="shared" si="28"/>
        <v>0</v>
      </c>
      <c r="AB90" s="52">
        <f t="shared" si="29"/>
        <v>0</v>
      </c>
      <c r="AC90" s="52">
        <f t="shared" si="30"/>
        <v>0</v>
      </c>
      <c r="AD90" s="52">
        <f t="shared" si="31"/>
        <v>0</v>
      </c>
      <c r="AE90" s="52">
        <f t="shared" si="32"/>
        <v>0</v>
      </c>
      <c r="AF90" s="52">
        <f t="shared" si="33"/>
        <v>0</v>
      </c>
      <c r="AG90" s="52">
        <f t="shared" si="34"/>
        <v>0</v>
      </c>
      <c r="AH90" s="52">
        <f t="shared" si="35"/>
        <v>0</v>
      </c>
      <c r="AI90" s="45"/>
      <c r="AJ90" s="3">
        <f t="shared" si="36"/>
        <v>0</v>
      </c>
      <c r="AK90" s="3">
        <f t="shared" si="37"/>
        <v>0</v>
      </c>
      <c r="AL90" s="3">
        <f t="shared" si="38"/>
        <v>0</v>
      </c>
      <c r="AN90" s="52">
        <v>21</v>
      </c>
      <c r="AO90" s="52">
        <f t="shared" si="39"/>
        <v>0</v>
      </c>
      <c r="AP90" s="52">
        <f t="shared" si="40"/>
        <v>0</v>
      </c>
      <c r="AQ90" s="49" t="s">
        <v>11</v>
      </c>
      <c r="AV90" s="52">
        <f t="shared" si="41"/>
        <v>0</v>
      </c>
      <c r="AW90" s="52">
        <f t="shared" si="42"/>
        <v>0</v>
      </c>
      <c r="AX90" s="52">
        <f t="shared" si="43"/>
        <v>0</v>
      </c>
      <c r="AY90" s="53" t="s">
        <v>357</v>
      </c>
      <c r="AZ90" s="53" t="s">
        <v>366</v>
      </c>
      <c r="BA90" s="45" t="s">
        <v>368</v>
      </c>
      <c r="BC90" s="52">
        <f t="shared" si="44"/>
        <v>0</v>
      </c>
      <c r="BD90" s="52">
        <f t="shared" si="45"/>
        <v>0</v>
      </c>
      <c r="BE90" s="52">
        <v>0</v>
      </c>
      <c r="BF90" s="52">
        <f t="shared" si="46"/>
        <v>0</v>
      </c>
      <c r="BH90" s="3">
        <f t="shared" si="47"/>
        <v>0</v>
      </c>
      <c r="BI90" s="3">
        <f t="shared" si="48"/>
        <v>0</v>
      </c>
      <c r="BJ90" s="3">
        <f t="shared" si="49"/>
        <v>0</v>
      </c>
    </row>
    <row r="91" spans="1:62" ht="12.75">
      <c r="A91" s="1" t="s">
        <v>60</v>
      </c>
      <c r="B91" s="1"/>
      <c r="C91" s="1" t="s">
        <v>146</v>
      </c>
      <c r="D91" s="1" t="s">
        <v>228</v>
      </c>
      <c r="E91" s="1" t="s">
        <v>247</v>
      </c>
      <c r="F91" s="3">
        <f>'Rozpočet - vybrané sloupce'!AR90</f>
        <v>4.31243</v>
      </c>
      <c r="G91" s="3">
        <f>'Rozpočet - vybrané sloupce'!AW90</f>
        <v>0</v>
      </c>
      <c r="H91" s="3">
        <f t="shared" si="24"/>
        <v>0</v>
      </c>
      <c r="I91" s="3">
        <f t="shared" si="25"/>
        <v>0</v>
      </c>
      <c r="J91" s="3">
        <f t="shared" si="26"/>
        <v>0</v>
      </c>
      <c r="K91" s="3">
        <v>0</v>
      </c>
      <c r="L91" s="3">
        <f t="shared" si="27"/>
        <v>0</v>
      </c>
      <c r="M91" s="49" t="s">
        <v>320</v>
      </c>
      <c r="Z91" s="52">
        <f t="shared" si="28"/>
        <v>0</v>
      </c>
      <c r="AB91" s="52">
        <f t="shared" si="29"/>
        <v>0</v>
      </c>
      <c r="AC91" s="52">
        <f t="shared" si="30"/>
        <v>0</v>
      </c>
      <c r="AD91" s="52">
        <f t="shared" si="31"/>
        <v>0</v>
      </c>
      <c r="AE91" s="52">
        <f t="shared" si="32"/>
        <v>0</v>
      </c>
      <c r="AF91" s="52">
        <f t="shared" si="33"/>
        <v>0</v>
      </c>
      <c r="AG91" s="52">
        <f t="shared" si="34"/>
        <v>0</v>
      </c>
      <c r="AH91" s="52">
        <f t="shared" si="35"/>
        <v>0</v>
      </c>
      <c r="AI91" s="45"/>
      <c r="AJ91" s="3">
        <f t="shared" si="36"/>
        <v>0</v>
      </c>
      <c r="AK91" s="3">
        <f t="shared" si="37"/>
        <v>0</v>
      </c>
      <c r="AL91" s="3">
        <f t="shared" si="38"/>
        <v>0</v>
      </c>
      <c r="AN91" s="52">
        <v>21</v>
      </c>
      <c r="AO91" s="52">
        <f t="shared" si="39"/>
        <v>0</v>
      </c>
      <c r="AP91" s="52">
        <f t="shared" si="40"/>
        <v>0</v>
      </c>
      <c r="AQ91" s="49" t="s">
        <v>11</v>
      </c>
      <c r="AV91" s="52">
        <f t="shared" si="41"/>
        <v>0</v>
      </c>
      <c r="AW91" s="52">
        <f t="shared" si="42"/>
        <v>0</v>
      </c>
      <c r="AX91" s="52">
        <f t="shared" si="43"/>
        <v>0</v>
      </c>
      <c r="AY91" s="53" t="s">
        <v>357</v>
      </c>
      <c r="AZ91" s="53" t="s">
        <v>366</v>
      </c>
      <c r="BA91" s="45" t="s">
        <v>368</v>
      </c>
      <c r="BC91" s="52">
        <f t="shared" si="44"/>
        <v>0</v>
      </c>
      <c r="BD91" s="52">
        <f t="shared" si="45"/>
        <v>0</v>
      </c>
      <c r="BE91" s="52">
        <v>0</v>
      </c>
      <c r="BF91" s="52">
        <f t="shared" si="46"/>
        <v>0</v>
      </c>
      <c r="BH91" s="3">
        <f t="shared" si="47"/>
        <v>0</v>
      </c>
      <c r="BI91" s="3">
        <f t="shared" si="48"/>
        <v>0</v>
      </c>
      <c r="BJ91" s="3">
        <f t="shared" si="49"/>
        <v>0</v>
      </c>
    </row>
    <row r="92" spans="1:62" ht="12.75">
      <c r="A92" s="1" t="s">
        <v>61</v>
      </c>
      <c r="B92" s="1"/>
      <c r="C92" s="1" t="s">
        <v>147</v>
      </c>
      <c r="D92" s="1" t="s">
        <v>229</v>
      </c>
      <c r="E92" s="1" t="s">
        <v>247</v>
      </c>
      <c r="F92" s="3">
        <f>'Rozpočet - vybrané sloupce'!AR91</f>
        <v>21.56215</v>
      </c>
      <c r="G92" s="3">
        <f>'Rozpočet - vybrané sloupce'!AW91</f>
        <v>0</v>
      </c>
      <c r="H92" s="3">
        <f t="shared" si="24"/>
        <v>0</v>
      </c>
      <c r="I92" s="3">
        <f t="shared" si="25"/>
        <v>0</v>
      </c>
      <c r="J92" s="3">
        <f t="shared" si="26"/>
        <v>0</v>
      </c>
      <c r="K92" s="3">
        <v>0</v>
      </c>
      <c r="L92" s="3">
        <f t="shared" si="27"/>
        <v>0</v>
      </c>
      <c r="M92" s="49" t="s">
        <v>320</v>
      </c>
      <c r="Z92" s="52">
        <f t="shared" si="28"/>
        <v>0</v>
      </c>
      <c r="AB92" s="52">
        <f t="shared" si="29"/>
        <v>0</v>
      </c>
      <c r="AC92" s="52">
        <f t="shared" si="30"/>
        <v>0</v>
      </c>
      <c r="AD92" s="52">
        <f t="shared" si="31"/>
        <v>0</v>
      </c>
      <c r="AE92" s="52">
        <f t="shared" si="32"/>
        <v>0</v>
      </c>
      <c r="AF92" s="52">
        <f t="shared" si="33"/>
        <v>0</v>
      </c>
      <c r="AG92" s="52">
        <f t="shared" si="34"/>
        <v>0</v>
      </c>
      <c r="AH92" s="52">
        <f t="shared" si="35"/>
        <v>0</v>
      </c>
      <c r="AI92" s="45"/>
      <c r="AJ92" s="3">
        <f t="shared" si="36"/>
        <v>0</v>
      </c>
      <c r="AK92" s="3">
        <f t="shared" si="37"/>
        <v>0</v>
      </c>
      <c r="AL92" s="3">
        <f t="shared" si="38"/>
        <v>0</v>
      </c>
      <c r="AN92" s="52">
        <v>21</v>
      </c>
      <c r="AO92" s="52">
        <f t="shared" si="39"/>
        <v>0</v>
      </c>
      <c r="AP92" s="52">
        <f t="shared" si="40"/>
        <v>0</v>
      </c>
      <c r="AQ92" s="49" t="s">
        <v>11</v>
      </c>
      <c r="AV92" s="52">
        <f t="shared" si="41"/>
        <v>0</v>
      </c>
      <c r="AW92" s="52">
        <f t="shared" si="42"/>
        <v>0</v>
      </c>
      <c r="AX92" s="52">
        <f t="shared" si="43"/>
        <v>0</v>
      </c>
      <c r="AY92" s="53" t="s">
        <v>357</v>
      </c>
      <c r="AZ92" s="53" t="s">
        <v>366</v>
      </c>
      <c r="BA92" s="45" t="s">
        <v>368</v>
      </c>
      <c r="BC92" s="52">
        <f t="shared" si="44"/>
        <v>0</v>
      </c>
      <c r="BD92" s="52">
        <f t="shared" si="45"/>
        <v>0</v>
      </c>
      <c r="BE92" s="52">
        <v>0</v>
      </c>
      <c r="BF92" s="52">
        <f t="shared" si="46"/>
        <v>0</v>
      </c>
      <c r="BH92" s="3">
        <f t="shared" si="47"/>
        <v>0</v>
      </c>
      <c r="BI92" s="3">
        <f t="shared" si="48"/>
        <v>0</v>
      </c>
      <c r="BJ92" s="3">
        <f t="shared" si="49"/>
        <v>0</v>
      </c>
    </row>
    <row r="93" spans="1:62" ht="12.75">
      <c r="A93" s="1" t="s">
        <v>62</v>
      </c>
      <c r="B93" s="1"/>
      <c r="C93" s="1" t="s">
        <v>148</v>
      </c>
      <c r="D93" s="1" t="s">
        <v>230</v>
      </c>
      <c r="E93" s="1" t="s">
        <v>247</v>
      </c>
      <c r="F93" s="3">
        <f>'Rozpočet - vybrané sloupce'!AR92</f>
        <v>4.31243</v>
      </c>
      <c r="G93" s="3">
        <f>'Rozpočet - vybrané sloupce'!AW92</f>
        <v>0</v>
      </c>
      <c r="H93" s="3">
        <f t="shared" si="24"/>
        <v>0</v>
      </c>
      <c r="I93" s="3">
        <f t="shared" si="25"/>
        <v>0</v>
      </c>
      <c r="J93" s="3">
        <f t="shared" si="26"/>
        <v>0</v>
      </c>
      <c r="K93" s="3">
        <v>0</v>
      </c>
      <c r="L93" s="3">
        <f t="shared" si="27"/>
        <v>0</v>
      </c>
      <c r="M93" s="49" t="s">
        <v>320</v>
      </c>
      <c r="Z93" s="52">
        <f t="shared" si="28"/>
        <v>0</v>
      </c>
      <c r="AB93" s="52">
        <f t="shared" si="29"/>
        <v>0</v>
      </c>
      <c r="AC93" s="52">
        <f t="shared" si="30"/>
        <v>0</v>
      </c>
      <c r="AD93" s="52">
        <f t="shared" si="31"/>
        <v>0</v>
      </c>
      <c r="AE93" s="52">
        <f t="shared" si="32"/>
        <v>0</v>
      </c>
      <c r="AF93" s="52">
        <f t="shared" si="33"/>
        <v>0</v>
      </c>
      <c r="AG93" s="52">
        <f t="shared" si="34"/>
        <v>0</v>
      </c>
      <c r="AH93" s="52">
        <f t="shared" si="35"/>
        <v>0</v>
      </c>
      <c r="AI93" s="45"/>
      <c r="AJ93" s="3">
        <f t="shared" si="36"/>
        <v>0</v>
      </c>
      <c r="AK93" s="3">
        <f t="shared" si="37"/>
        <v>0</v>
      </c>
      <c r="AL93" s="3">
        <f t="shared" si="38"/>
        <v>0</v>
      </c>
      <c r="AN93" s="52">
        <v>21</v>
      </c>
      <c r="AO93" s="52">
        <f t="shared" si="39"/>
        <v>0</v>
      </c>
      <c r="AP93" s="52">
        <f t="shared" si="40"/>
        <v>0</v>
      </c>
      <c r="AQ93" s="49" t="s">
        <v>11</v>
      </c>
      <c r="AV93" s="52">
        <f t="shared" si="41"/>
        <v>0</v>
      </c>
      <c r="AW93" s="52">
        <f t="shared" si="42"/>
        <v>0</v>
      </c>
      <c r="AX93" s="52">
        <f t="shared" si="43"/>
        <v>0</v>
      </c>
      <c r="AY93" s="53" t="s">
        <v>357</v>
      </c>
      <c r="AZ93" s="53" t="s">
        <v>366</v>
      </c>
      <c r="BA93" s="45" t="s">
        <v>368</v>
      </c>
      <c r="BC93" s="52">
        <f t="shared" si="44"/>
        <v>0</v>
      </c>
      <c r="BD93" s="52">
        <f t="shared" si="45"/>
        <v>0</v>
      </c>
      <c r="BE93" s="52">
        <v>0</v>
      </c>
      <c r="BF93" s="52">
        <f t="shared" si="46"/>
        <v>0</v>
      </c>
      <c r="BH93" s="3">
        <f t="shared" si="47"/>
        <v>0</v>
      </c>
      <c r="BI93" s="3">
        <f t="shared" si="48"/>
        <v>0</v>
      </c>
      <c r="BJ93" s="3">
        <f t="shared" si="49"/>
        <v>0</v>
      </c>
    </row>
    <row r="94" spans="1:47" ht="12.75">
      <c r="A94" s="30"/>
      <c r="B94" s="36"/>
      <c r="C94" s="36"/>
      <c r="D94" s="36" t="s">
        <v>231</v>
      </c>
      <c r="E94" s="30" t="s">
        <v>6</v>
      </c>
      <c r="F94" s="30" t="s">
        <v>6</v>
      </c>
      <c r="G94" s="30" t="s">
        <v>6</v>
      </c>
      <c r="H94" s="6">
        <f>SUM(H95:H99)</f>
        <v>0</v>
      </c>
      <c r="I94" s="6">
        <f>SUM(I95:I99)</f>
        <v>0</v>
      </c>
      <c r="J94" s="6">
        <f>SUM(J95:J99)</f>
        <v>0</v>
      </c>
      <c r="K94" s="45"/>
      <c r="L94" s="6">
        <f>SUM(L95:L99)</f>
        <v>1.3625500000000001</v>
      </c>
      <c r="M94" s="45"/>
      <c r="AI94" s="45"/>
      <c r="AS94" s="6">
        <f>SUM(AJ95:AJ99)</f>
        <v>0</v>
      </c>
      <c r="AT94" s="6">
        <f>SUM(AK95:AK99)</f>
        <v>0</v>
      </c>
      <c r="AU94" s="6">
        <f>SUM(AL95:AL99)</f>
        <v>0</v>
      </c>
    </row>
    <row r="95" spans="1:62" ht="12.75">
      <c r="A95" s="2" t="s">
        <v>63</v>
      </c>
      <c r="B95" s="2"/>
      <c r="C95" s="2" t="s">
        <v>149</v>
      </c>
      <c r="D95" s="2" t="s">
        <v>232</v>
      </c>
      <c r="E95" s="2" t="s">
        <v>242</v>
      </c>
      <c r="F95" s="4">
        <f>'Rozpočet - vybrané sloupce'!AR94</f>
        <v>85</v>
      </c>
      <c r="G95" s="4">
        <f>'Rozpočet - vybrané sloupce'!AW94</f>
        <v>0</v>
      </c>
      <c r="H95" s="4">
        <f>F95*AO95</f>
        <v>0</v>
      </c>
      <c r="I95" s="4">
        <f>F95*AP95</f>
        <v>0</v>
      </c>
      <c r="J95" s="4">
        <f>F95*G95</f>
        <v>0</v>
      </c>
      <c r="K95" s="4">
        <v>0.0105</v>
      </c>
      <c r="L95" s="4">
        <f>F95*K95</f>
        <v>0.8925000000000001</v>
      </c>
      <c r="M95" s="50" t="s">
        <v>321</v>
      </c>
      <c r="Z95" s="52">
        <f>IF(AQ95="5",BJ95,0)</f>
        <v>0</v>
      </c>
      <c r="AB95" s="52">
        <f>IF(AQ95="1",BH95,0)</f>
        <v>0</v>
      </c>
      <c r="AC95" s="52">
        <f>IF(AQ95="1",BI95,0)</f>
        <v>0</v>
      </c>
      <c r="AD95" s="52">
        <f>IF(AQ95="7",BH95,0)</f>
        <v>0</v>
      </c>
      <c r="AE95" s="52">
        <f>IF(AQ95="7",BI95,0)</f>
        <v>0</v>
      </c>
      <c r="AF95" s="52">
        <f>IF(AQ95="2",BH95,0)</f>
        <v>0</v>
      </c>
      <c r="AG95" s="52">
        <f>IF(AQ95="2",BI95,0)</f>
        <v>0</v>
      </c>
      <c r="AH95" s="52">
        <f>IF(AQ95="0",BJ95,0)</f>
        <v>0</v>
      </c>
      <c r="AI95" s="45"/>
      <c r="AJ95" s="4">
        <f>IF(AN95=0,J95,0)</f>
        <v>0</v>
      </c>
      <c r="AK95" s="4">
        <f>IF(AN95=15,J95,0)</f>
        <v>0</v>
      </c>
      <c r="AL95" s="4">
        <f>IF(AN95=21,J95,0)</f>
        <v>0</v>
      </c>
      <c r="AN95" s="52">
        <v>21</v>
      </c>
      <c r="AO95" s="52">
        <f>G95*1</f>
        <v>0</v>
      </c>
      <c r="AP95" s="52">
        <f>G95*(1-1)</f>
        <v>0</v>
      </c>
      <c r="AQ95" s="50" t="s">
        <v>331</v>
      </c>
      <c r="AV95" s="52">
        <f>AW95+AX95</f>
        <v>0</v>
      </c>
      <c r="AW95" s="52">
        <f>F95*AO95</f>
        <v>0</v>
      </c>
      <c r="AX95" s="52">
        <f>F95*AP95</f>
        <v>0</v>
      </c>
      <c r="AY95" s="53" t="s">
        <v>358</v>
      </c>
      <c r="AZ95" s="53" t="s">
        <v>367</v>
      </c>
      <c r="BA95" s="45" t="s">
        <v>368</v>
      </c>
      <c r="BC95" s="52">
        <f>AW95+AX95</f>
        <v>0</v>
      </c>
      <c r="BD95" s="52">
        <f>G95/(100-BE95)*100</f>
        <v>0</v>
      </c>
      <c r="BE95" s="52">
        <v>0</v>
      </c>
      <c r="BF95" s="52">
        <f>L95</f>
        <v>0.8925000000000001</v>
      </c>
      <c r="BH95" s="4">
        <f>F95*AO95</f>
        <v>0</v>
      </c>
      <c r="BI95" s="4">
        <f>F95*AP95</f>
        <v>0</v>
      </c>
      <c r="BJ95" s="4">
        <f>F95*G95</f>
        <v>0</v>
      </c>
    </row>
    <row r="96" spans="1:62" ht="12.75">
      <c r="A96" s="2" t="s">
        <v>64</v>
      </c>
      <c r="B96" s="2"/>
      <c r="C96" s="2" t="s">
        <v>150</v>
      </c>
      <c r="D96" s="2" t="s">
        <v>233</v>
      </c>
      <c r="E96" s="2" t="s">
        <v>242</v>
      </c>
      <c r="F96" s="4">
        <f>'Rozpočet - vybrané sloupce'!AR95</f>
        <v>19</v>
      </c>
      <c r="G96" s="4">
        <f>'Rozpočet - vybrané sloupce'!AW95</f>
        <v>0</v>
      </c>
      <c r="H96" s="4">
        <f>F96*AO96</f>
        <v>0</v>
      </c>
      <c r="I96" s="4">
        <f>F96*AP96</f>
        <v>0</v>
      </c>
      <c r="J96" s="4">
        <f>F96*G96</f>
        <v>0</v>
      </c>
      <c r="K96" s="4">
        <v>0.0192</v>
      </c>
      <c r="L96" s="4">
        <f>F96*K96</f>
        <v>0.36479999999999996</v>
      </c>
      <c r="M96" s="50" t="s">
        <v>321</v>
      </c>
      <c r="Z96" s="52">
        <f>IF(AQ96="5",BJ96,0)</f>
        <v>0</v>
      </c>
      <c r="AB96" s="52">
        <f>IF(AQ96="1",BH96,0)</f>
        <v>0</v>
      </c>
      <c r="AC96" s="52">
        <f>IF(AQ96="1",BI96,0)</f>
        <v>0</v>
      </c>
      <c r="AD96" s="52">
        <f>IF(AQ96="7",BH96,0)</f>
        <v>0</v>
      </c>
      <c r="AE96" s="52">
        <f>IF(AQ96="7",BI96,0)</f>
        <v>0</v>
      </c>
      <c r="AF96" s="52">
        <f>IF(AQ96="2",BH96,0)</f>
        <v>0</v>
      </c>
      <c r="AG96" s="52">
        <f>IF(AQ96="2",BI96,0)</f>
        <v>0</v>
      </c>
      <c r="AH96" s="52">
        <f>IF(AQ96="0",BJ96,0)</f>
        <v>0</v>
      </c>
      <c r="AI96" s="45"/>
      <c r="AJ96" s="4">
        <f>IF(AN96=0,J96,0)</f>
        <v>0</v>
      </c>
      <c r="AK96" s="4">
        <f>IF(AN96=15,J96,0)</f>
        <v>0</v>
      </c>
      <c r="AL96" s="4">
        <f>IF(AN96=21,J96,0)</f>
        <v>0</v>
      </c>
      <c r="AN96" s="52">
        <v>21</v>
      </c>
      <c r="AO96" s="52">
        <f>G96*1</f>
        <v>0</v>
      </c>
      <c r="AP96" s="52">
        <f>G96*(1-1)</f>
        <v>0</v>
      </c>
      <c r="AQ96" s="50" t="s">
        <v>331</v>
      </c>
      <c r="AV96" s="52">
        <f>AW96+AX96</f>
        <v>0</v>
      </c>
      <c r="AW96" s="52">
        <f>F96*AO96</f>
        <v>0</v>
      </c>
      <c r="AX96" s="52">
        <f>F96*AP96</f>
        <v>0</v>
      </c>
      <c r="AY96" s="53" t="s">
        <v>358</v>
      </c>
      <c r="AZ96" s="53" t="s">
        <v>367</v>
      </c>
      <c r="BA96" s="45" t="s">
        <v>368</v>
      </c>
      <c r="BC96" s="52">
        <f>AW96+AX96</f>
        <v>0</v>
      </c>
      <c r="BD96" s="52">
        <f>G96/(100-BE96)*100</f>
        <v>0</v>
      </c>
      <c r="BE96" s="52">
        <v>0</v>
      </c>
      <c r="BF96" s="52">
        <f>L96</f>
        <v>0.36479999999999996</v>
      </c>
      <c r="BH96" s="4">
        <f>F96*AO96</f>
        <v>0</v>
      </c>
      <c r="BI96" s="4">
        <f>F96*AP96</f>
        <v>0</v>
      </c>
      <c r="BJ96" s="4">
        <f>F96*G96</f>
        <v>0</v>
      </c>
    </row>
    <row r="97" spans="1:62" ht="12.75">
      <c r="A97" s="2" t="s">
        <v>65</v>
      </c>
      <c r="B97" s="2"/>
      <c r="C97" s="2" t="s">
        <v>151</v>
      </c>
      <c r="D97" s="2" t="s">
        <v>234</v>
      </c>
      <c r="E97" s="2" t="s">
        <v>244</v>
      </c>
      <c r="F97" s="4">
        <f>'Rozpočet - vybrané sloupce'!AR96</f>
        <v>4</v>
      </c>
      <c r="G97" s="4">
        <f>'Rozpočet - vybrané sloupce'!AW96</f>
        <v>0</v>
      </c>
      <c r="H97" s="4">
        <f>F97*AO97</f>
        <v>0</v>
      </c>
      <c r="I97" s="4">
        <f>F97*AP97</f>
        <v>0</v>
      </c>
      <c r="J97" s="4">
        <f>F97*G97</f>
        <v>0</v>
      </c>
      <c r="K97" s="4">
        <v>0.02</v>
      </c>
      <c r="L97" s="4">
        <f>F97*K97</f>
        <v>0.08</v>
      </c>
      <c r="M97" s="50" t="s">
        <v>320</v>
      </c>
      <c r="Z97" s="52">
        <f>IF(AQ97="5",BJ97,0)</f>
        <v>0</v>
      </c>
      <c r="AB97" s="52">
        <f>IF(AQ97="1",BH97,0)</f>
        <v>0</v>
      </c>
      <c r="AC97" s="52">
        <f>IF(AQ97="1",BI97,0)</f>
        <v>0</v>
      </c>
      <c r="AD97" s="52">
        <f>IF(AQ97="7",BH97,0)</f>
        <v>0</v>
      </c>
      <c r="AE97" s="52">
        <f>IF(AQ97="7",BI97,0)</f>
        <v>0</v>
      </c>
      <c r="AF97" s="52">
        <f>IF(AQ97="2",BH97,0)</f>
        <v>0</v>
      </c>
      <c r="AG97" s="52">
        <f>IF(AQ97="2",BI97,0)</f>
        <v>0</v>
      </c>
      <c r="AH97" s="52">
        <f>IF(AQ97="0",BJ97,0)</f>
        <v>0</v>
      </c>
      <c r="AI97" s="45"/>
      <c r="AJ97" s="4">
        <f>IF(AN97=0,J97,0)</f>
        <v>0</v>
      </c>
      <c r="AK97" s="4">
        <f>IF(AN97=15,J97,0)</f>
        <v>0</v>
      </c>
      <c r="AL97" s="4">
        <f>IF(AN97=21,J97,0)</f>
        <v>0</v>
      </c>
      <c r="AN97" s="52">
        <v>21</v>
      </c>
      <c r="AO97" s="52">
        <f>G97*1</f>
        <v>0</v>
      </c>
      <c r="AP97" s="52">
        <f>G97*(1-1)</f>
        <v>0</v>
      </c>
      <c r="AQ97" s="50" t="s">
        <v>331</v>
      </c>
      <c r="AV97" s="52">
        <f>AW97+AX97</f>
        <v>0</v>
      </c>
      <c r="AW97" s="52">
        <f>F97*AO97</f>
        <v>0</v>
      </c>
      <c r="AX97" s="52">
        <f>F97*AP97</f>
        <v>0</v>
      </c>
      <c r="AY97" s="53" t="s">
        <v>358</v>
      </c>
      <c r="AZ97" s="53" t="s">
        <v>367</v>
      </c>
      <c r="BA97" s="45" t="s">
        <v>368</v>
      </c>
      <c r="BC97" s="52">
        <f>AW97+AX97</f>
        <v>0</v>
      </c>
      <c r="BD97" s="52">
        <f>G97/(100-BE97)*100</f>
        <v>0</v>
      </c>
      <c r="BE97" s="52">
        <v>0</v>
      </c>
      <c r="BF97" s="52">
        <f>L97</f>
        <v>0.08</v>
      </c>
      <c r="BH97" s="4">
        <f>F97*AO97</f>
        <v>0</v>
      </c>
      <c r="BI97" s="4">
        <f>F97*AP97</f>
        <v>0</v>
      </c>
      <c r="BJ97" s="4">
        <f>F97*G97</f>
        <v>0</v>
      </c>
    </row>
    <row r="98" spans="1:62" ht="12.75">
      <c r="A98" s="2" t="s">
        <v>66</v>
      </c>
      <c r="B98" s="2"/>
      <c r="C98" s="2" t="s">
        <v>152</v>
      </c>
      <c r="D98" s="2" t="s">
        <v>235</v>
      </c>
      <c r="E98" s="2" t="s">
        <v>244</v>
      </c>
      <c r="F98" s="4">
        <f>'Rozpočet - vybrané sloupce'!AR97</f>
        <v>5</v>
      </c>
      <c r="G98" s="4">
        <f>'Rozpočet - vybrané sloupce'!AW97</f>
        <v>0</v>
      </c>
      <c r="H98" s="4">
        <f>F98*AO98</f>
        <v>0</v>
      </c>
      <c r="I98" s="4">
        <f>F98*AP98</f>
        <v>0</v>
      </c>
      <c r="J98" s="4">
        <f>F98*G98</f>
        <v>0</v>
      </c>
      <c r="K98" s="4">
        <v>0.00075</v>
      </c>
      <c r="L98" s="4">
        <f>F98*K98</f>
        <v>0.00375</v>
      </c>
      <c r="M98" s="50" t="s">
        <v>320</v>
      </c>
      <c r="Z98" s="52">
        <f>IF(AQ98="5",BJ98,0)</f>
        <v>0</v>
      </c>
      <c r="AB98" s="52">
        <f>IF(AQ98="1",BH98,0)</f>
        <v>0</v>
      </c>
      <c r="AC98" s="52">
        <f>IF(AQ98="1",BI98,0)</f>
        <v>0</v>
      </c>
      <c r="AD98" s="52">
        <f>IF(AQ98="7",BH98,0)</f>
        <v>0</v>
      </c>
      <c r="AE98" s="52">
        <f>IF(AQ98="7",BI98,0)</f>
        <v>0</v>
      </c>
      <c r="AF98" s="52">
        <f>IF(AQ98="2",BH98,0)</f>
        <v>0</v>
      </c>
      <c r="AG98" s="52">
        <f>IF(AQ98="2",BI98,0)</f>
        <v>0</v>
      </c>
      <c r="AH98" s="52">
        <f>IF(AQ98="0",BJ98,0)</f>
        <v>0</v>
      </c>
      <c r="AI98" s="45"/>
      <c r="AJ98" s="4">
        <f>IF(AN98=0,J98,0)</f>
        <v>0</v>
      </c>
      <c r="AK98" s="4">
        <f>IF(AN98=15,J98,0)</f>
        <v>0</v>
      </c>
      <c r="AL98" s="4">
        <f>IF(AN98=21,J98,0)</f>
        <v>0</v>
      </c>
      <c r="AN98" s="52">
        <v>21</v>
      </c>
      <c r="AO98" s="52">
        <f>G98*1</f>
        <v>0</v>
      </c>
      <c r="AP98" s="52">
        <f>G98*(1-1)</f>
        <v>0</v>
      </c>
      <c r="AQ98" s="50" t="s">
        <v>331</v>
      </c>
      <c r="AV98" s="52">
        <f>AW98+AX98</f>
        <v>0</v>
      </c>
      <c r="AW98" s="52">
        <f>F98*AO98</f>
        <v>0</v>
      </c>
      <c r="AX98" s="52">
        <f>F98*AP98</f>
        <v>0</v>
      </c>
      <c r="AY98" s="53" t="s">
        <v>358</v>
      </c>
      <c r="AZ98" s="53" t="s">
        <v>367</v>
      </c>
      <c r="BA98" s="45" t="s">
        <v>368</v>
      </c>
      <c r="BC98" s="52">
        <f>AW98+AX98</f>
        <v>0</v>
      </c>
      <c r="BD98" s="52">
        <f>G98/(100-BE98)*100</f>
        <v>0</v>
      </c>
      <c r="BE98" s="52">
        <v>0</v>
      </c>
      <c r="BF98" s="52">
        <f>L98</f>
        <v>0.00375</v>
      </c>
      <c r="BH98" s="4">
        <f>F98*AO98</f>
        <v>0</v>
      </c>
      <c r="BI98" s="4">
        <f>F98*AP98</f>
        <v>0</v>
      </c>
      <c r="BJ98" s="4">
        <f>F98*G98</f>
        <v>0</v>
      </c>
    </row>
    <row r="99" spans="1:62" ht="12.75">
      <c r="A99" s="31" t="s">
        <v>67</v>
      </c>
      <c r="B99" s="31"/>
      <c r="C99" s="31" t="s">
        <v>153</v>
      </c>
      <c r="D99" s="31" t="s">
        <v>236</v>
      </c>
      <c r="E99" s="31" t="s">
        <v>244</v>
      </c>
      <c r="F99" s="46">
        <f>'Rozpočet - vybrané sloupce'!AR98</f>
        <v>1</v>
      </c>
      <c r="G99" s="46">
        <f>'Rozpočet - vybrané sloupce'!AW98</f>
        <v>0</v>
      </c>
      <c r="H99" s="46">
        <f>F99*AO99</f>
        <v>0</v>
      </c>
      <c r="I99" s="46">
        <f>F99*AP99</f>
        <v>0</v>
      </c>
      <c r="J99" s="46">
        <f>F99*G99</f>
        <v>0</v>
      </c>
      <c r="K99" s="46">
        <v>0.0215</v>
      </c>
      <c r="L99" s="46">
        <f>F99*K99</f>
        <v>0.0215</v>
      </c>
      <c r="M99" s="51" t="s">
        <v>320</v>
      </c>
      <c r="Z99" s="52">
        <f>IF(AQ99="5",BJ99,0)</f>
        <v>0</v>
      </c>
      <c r="AB99" s="52">
        <f>IF(AQ99="1",BH99,0)</f>
        <v>0</v>
      </c>
      <c r="AC99" s="52">
        <f>IF(AQ99="1",BI99,0)</f>
        <v>0</v>
      </c>
      <c r="AD99" s="52">
        <f>IF(AQ99="7",BH99,0)</f>
        <v>0</v>
      </c>
      <c r="AE99" s="52">
        <f>IF(AQ99="7",BI99,0)</f>
        <v>0</v>
      </c>
      <c r="AF99" s="52">
        <f>IF(AQ99="2",BH99,0)</f>
        <v>0</v>
      </c>
      <c r="AG99" s="52">
        <f>IF(AQ99="2",BI99,0)</f>
        <v>0</v>
      </c>
      <c r="AH99" s="52">
        <f>IF(AQ99="0",BJ99,0)</f>
        <v>0</v>
      </c>
      <c r="AI99" s="45"/>
      <c r="AJ99" s="4">
        <f>IF(AN99=0,J99,0)</f>
        <v>0</v>
      </c>
      <c r="AK99" s="4">
        <f>IF(AN99=15,J99,0)</f>
        <v>0</v>
      </c>
      <c r="AL99" s="4">
        <f>IF(AN99=21,J99,0)</f>
        <v>0</v>
      </c>
      <c r="AN99" s="52">
        <v>21</v>
      </c>
      <c r="AO99" s="52">
        <f>G99*1</f>
        <v>0</v>
      </c>
      <c r="AP99" s="52">
        <f>G99*(1-1)</f>
        <v>0</v>
      </c>
      <c r="AQ99" s="50" t="s">
        <v>331</v>
      </c>
      <c r="AV99" s="52">
        <f>AW99+AX99</f>
        <v>0</v>
      </c>
      <c r="AW99" s="52">
        <f>F99*AO99</f>
        <v>0</v>
      </c>
      <c r="AX99" s="52">
        <f>F99*AP99</f>
        <v>0</v>
      </c>
      <c r="AY99" s="53" t="s">
        <v>358</v>
      </c>
      <c r="AZ99" s="53" t="s">
        <v>367</v>
      </c>
      <c r="BA99" s="45" t="s">
        <v>368</v>
      </c>
      <c r="BC99" s="52">
        <f>AW99+AX99</f>
        <v>0</v>
      </c>
      <c r="BD99" s="52">
        <f>G99/(100-BE99)*100</f>
        <v>0</v>
      </c>
      <c r="BE99" s="52">
        <v>0</v>
      </c>
      <c r="BF99" s="52">
        <f>L99</f>
        <v>0.0215</v>
      </c>
      <c r="BH99" s="4">
        <f>F99*AO99</f>
        <v>0</v>
      </c>
      <c r="BI99" s="4">
        <f>F99*AP99</f>
        <v>0</v>
      </c>
      <c r="BJ99" s="4">
        <f>F99*G99</f>
        <v>0</v>
      </c>
    </row>
    <row r="100" spans="1:13" ht="12.75">
      <c r="A100" s="13"/>
      <c r="B100" s="13"/>
      <c r="C100" s="13"/>
      <c r="D100" s="13"/>
      <c r="E100" s="13"/>
      <c r="F100" s="13"/>
      <c r="G100" s="13"/>
      <c r="H100" s="132" t="s">
        <v>254</v>
      </c>
      <c r="I100" s="64"/>
      <c r="J100" s="55">
        <f>J12+J14+J21+J23+J25+J29+J31+J36+J38+J42+J45+J50+J54+J56+J61+J63+J68+J71+J73+J75+J77+J79+J81+J83+J85+J87+J94</f>
        <v>0</v>
      </c>
      <c r="K100" s="13"/>
      <c r="L100" s="13"/>
      <c r="M100" s="13"/>
    </row>
    <row r="101" ht="11.25" customHeight="1">
      <c r="A101" s="32" t="s">
        <v>268</v>
      </c>
    </row>
    <row r="102" spans="1:13" ht="12.75">
      <c r="A102" s="7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</row>
  </sheetData>
  <sheetProtection/>
  <mergeCells count="29">
    <mergeCell ref="H10:J10"/>
    <mergeCell ref="K10:L10"/>
    <mergeCell ref="H100:I100"/>
    <mergeCell ref="A102:M102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dcterms:created xsi:type="dcterms:W3CDTF">2019-06-12T14:25:51Z</dcterms:created>
  <dcterms:modified xsi:type="dcterms:W3CDTF">2019-06-12T14:25:51Z</dcterms:modified>
  <cp:category/>
  <cp:version/>
  <cp:contentType/>
  <cp:contentStatus/>
</cp:coreProperties>
</file>