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ozpočet - vybrané sloupce" sheetId="1" r:id="rId1"/>
    <sheet name="Krycí list rozpočtu" sheetId="2" r:id="rId2"/>
    <sheet name="Stavební rozpočet" sheetId="3" state="veryHidden" r:id="rId3"/>
  </sheets>
  <definedNames/>
  <calcPr fullCalcOnLoad="1"/>
</workbook>
</file>

<file path=xl/sharedStrings.xml><?xml version="1.0" encoding="utf-8"?>
<sst xmlns="http://schemas.openxmlformats.org/spreadsheetml/2006/main" count="1467" uniqueCount="424">
  <si>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</si>
  <si>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</si>
  <si>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</si>
  <si>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</si>
  <si>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</si>
  <si>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</si>
  <si>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</si>
  <si>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</si>
  <si>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</si>
  <si>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</si>
  <si>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</si>
  <si>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</si>
  <si>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</si>
  <si>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</si>
  <si>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</si>
  <si>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</si>
  <si>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</si>
  <si>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</si>
  <si>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</si>
  <si>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</si>
  <si>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</si>
  <si>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</si>
  <si>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</si>
  <si>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</si>
  <si>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</si>
  <si>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</si>
  <si>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</si>
  <si>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</si>
  <si>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</si>
  <si>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</si>
  <si>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</si>
  <si>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</si>
  <si>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</si>
  <si>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</si>
  <si>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</si>
  <si>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</si>
  <si>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</si>
  <si>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</si>
  <si>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</si>
  <si>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</si>
  <si>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</si>
  <si>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</si>
  <si>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</si>
  <si>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</si>
  <si>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</si>
  <si>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</si>
  <si>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</si>
  <si>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</si>
  <si>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</si>
  <si>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</si>
  <si>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</si>
  <si>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</si>
  <si>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</si>
  <si>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</si>
  <si>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</si>
  <si>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</si>
  <si>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</si>
  <si>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</si>
  <si>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</si>
  <si>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</si>
  <si>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</si>
  <si>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</si>
  <si>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</si>
  <si>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</si>
  <si>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</si>
  <si>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</si>
  <si>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</si>
  <si>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</si>
  <si>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</si>
  <si>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</si>
  <si>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</si>
  <si>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</si>
  <si>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</si>
  <si>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</si>
  <si>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</si>
  <si>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</si>
  <si>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</si>
  <si>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</si>
  <si>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</si>
  <si>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</si>
  <si>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</si>
  <si>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</si>
  <si>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</si>
  <si>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</si>
  <si>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Kód</t>
  </si>
  <si>
    <t>317121021RU1</t>
  </si>
  <si>
    <t>317121021RU2</t>
  </si>
  <si>
    <t>342241161R00</t>
  </si>
  <si>
    <t>346244313R00</t>
  </si>
  <si>
    <t>416021123R00</t>
  </si>
  <si>
    <t>612403388RT1</t>
  </si>
  <si>
    <t>612471473R00</t>
  </si>
  <si>
    <t>612421615R00</t>
  </si>
  <si>
    <t>612471411R00</t>
  </si>
  <si>
    <t>612403384RT1</t>
  </si>
  <si>
    <t>610991111R00</t>
  </si>
  <si>
    <t>632421120RT1</t>
  </si>
  <si>
    <t>642944121RT2</t>
  </si>
  <si>
    <t>642944121RT5</t>
  </si>
  <si>
    <t>721</t>
  </si>
  <si>
    <t>721140806R00</t>
  </si>
  <si>
    <t>721176213R00</t>
  </si>
  <si>
    <t>721179156R00</t>
  </si>
  <si>
    <t>721100000000</t>
  </si>
  <si>
    <t>721273160RT1</t>
  </si>
  <si>
    <t>722</t>
  </si>
  <si>
    <t>722110000000</t>
  </si>
  <si>
    <t>725</t>
  </si>
  <si>
    <t>725110811R00</t>
  </si>
  <si>
    <t>725130816R00</t>
  </si>
  <si>
    <t>725017153R00</t>
  </si>
  <si>
    <t>725823121RT0</t>
  </si>
  <si>
    <t>725013161R00</t>
  </si>
  <si>
    <t>725122231R00</t>
  </si>
  <si>
    <t>725291135R00</t>
  </si>
  <si>
    <t>733</t>
  </si>
  <si>
    <t>733110803R00</t>
  </si>
  <si>
    <t>735</t>
  </si>
  <si>
    <t>735151832R00</t>
  </si>
  <si>
    <t>735151100R00</t>
  </si>
  <si>
    <t>735159523R00</t>
  </si>
  <si>
    <t>735191910R00</t>
  </si>
  <si>
    <t>766</t>
  </si>
  <si>
    <t>766661112R00</t>
  </si>
  <si>
    <t>766661122R00</t>
  </si>
  <si>
    <t>766670021R00</t>
  </si>
  <si>
    <t>771</t>
  </si>
  <si>
    <t>771101101R00</t>
  </si>
  <si>
    <t>771101210RT1</t>
  </si>
  <si>
    <t>771575109RT1</t>
  </si>
  <si>
    <t>781</t>
  </si>
  <si>
    <t>781101111R00</t>
  </si>
  <si>
    <t>781101210RT1</t>
  </si>
  <si>
    <t>781475115RT1</t>
  </si>
  <si>
    <t>783</t>
  </si>
  <si>
    <t>783122610R00</t>
  </si>
  <si>
    <t>784</t>
  </si>
  <si>
    <t>784402801R00</t>
  </si>
  <si>
    <t>784111101R00</t>
  </si>
  <si>
    <t>784115212R00</t>
  </si>
  <si>
    <t>784442021RT1</t>
  </si>
  <si>
    <t>784011222RT2</t>
  </si>
  <si>
    <t>94</t>
  </si>
  <si>
    <t>941955003R00</t>
  </si>
  <si>
    <t>96</t>
  </si>
  <si>
    <t>968061125R00</t>
  </si>
  <si>
    <t>968072455R00</t>
  </si>
  <si>
    <t>965100032RAA</t>
  </si>
  <si>
    <t>965042131RT1</t>
  </si>
  <si>
    <t>962031113R00</t>
  </si>
  <si>
    <t>97</t>
  </si>
  <si>
    <t>978059531R00</t>
  </si>
  <si>
    <t>974031132R00</t>
  </si>
  <si>
    <t>H721</t>
  </si>
  <si>
    <t>998721101R00</t>
  </si>
  <si>
    <t>H725</t>
  </si>
  <si>
    <t>998725101R00</t>
  </si>
  <si>
    <t>H735</t>
  </si>
  <si>
    <t>998735101R00</t>
  </si>
  <si>
    <t>H766</t>
  </si>
  <si>
    <t>998766101R00</t>
  </si>
  <si>
    <t>H771</t>
  </si>
  <si>
    <t>998771101R00</t>
  </si>
  <si>
    <t>H781</t>
  </si>
  <si>
    <t>998781101R00</t>
  </si>
  <si>
    <t>H99</t>
  </si>
  <si>
    <t>999281145R00</t>
  </si>
  <si>
    <t>M21</t>
  </si>
  <si>
    <t>210290593R00</t>
  </si>
  <si>
    <t>210800000000</t>
  </si>
  <si>
    <t>S</t>
  </si>
  <si>
    <t>979082111R00</t>
  </si>
  <si>
    <t>979011211R00</t>
  </si>
  <si>
    <t>979086213R00</t>
  </si>
  <si>
    <t>979081111RT2</t>
  </si>
  <si>
    <t>979081121R00</t>
  </si>
  <si>
    <t>979990101R00</t>
  </si>
  <si>
    <t>59781345</t>
  </si>
  <si>
    <t>59764203</t>
  </si>
  <si>
    <t>611617013</t>
  </si>
  <si>
    <t>611617024</t>
  </si>
  <si>
    <t>54914597</t>
  </si>
  <si>
    <t>55146001</t>
  </si>
  <si>
    <t>61162103</t>
  </si>
  <si>
    <t>Zkrácený popis</t>
  </si>
  <si>
    <t>Zdi podpěrné a volné</t>
  </si>
  <si>
    <t>Osazení překladu keram. plochého, světl. do 105 cm, včetně dodávky překladu 100 x 11,5 x 7,1 cm</t>
  </si>
  <si>
    <t>Osazení překladu keram. plochého, světl. do 105 cm, včetně dodávky překladu 125 x 11,5 x 7,1 cm</t>
  </si>
  <si>
    <t>Stěny a příčky</t>
  </si>
  <si>
    <t>Příčky z cihel plných CP29  tl. 65 mm</t>
  </si>
  <si>
    <t>Obezdívka stoupačky</t>
  </si>
  <si>
    <t>Stropy a stropní konstrukce (pro pozemní stavby)</t>
  </si>
  <si>
    <t>Podhledy SDK, kovová.kce CD. 1x deska RBI 12,5 mm</t>
  </si>
  <si>
    <t>Úprava povrchů vnitřní</t>
  </si>
  <si>
    <t>Hrubá výplň rýh ve stěnách do 15x15cm maltou z SMS</t>
  </si>
  <si>
    <t>Úprava stěn stěrkováním</t>
  </si>
  <si>
    <t>Omítka vnitřní zdiva, MVC, hrubá zatřená</t>
  </si>
  <si>
    <t>Úprava vnitřních stěn aktivovaným štukem</t>
  </si>
  <si>
    <t>Hrubá výplň rýh ve stěnách do 7x7 cm maltou ze SMS</t>
  </si>
  <si>
    <t>Zakrývání výplní vnitřních otvorů</t>
  </si>
  <si>
    <t>Podlahy a podlahové konstrukce</t>
  </si>
  <si>
    <t>Potěr WEBER Saint-Gobain,ručně zpracovaný,tl.10 mm, webernivelit</t>
  </si>
  <si>
    <t>Výplně otvorů</t>
  </si>
  <si>
    <t>Osazení ocelových zárubní dodatečně do 2,5 m2, včetně dodávky zárubně  60x197x11 cm, zinkovaná</t>
  </si>
  <si>
    <t>Osazení ocelových zárubní dodatečně do 2,5 m2,včetně dodávky zárubně  90x197x11 cm, zinek</t>
  </si>
  <si>
    <t>Vnitřní kanalizace</t>
  </si>
  <si>
    <t>Demontáž potrubí litinového DN 200</t>
  </si>
  <si>
    <t>Potrubí KG odpadní svislé D 125 x 3,2 mm</t>
  </si>
  <si>
    <t>Čisticí kus.D 125mm</t>
  </si>
  <si>
    <t>Úpravy vnitřní kanalizace</t>
  </si>
  <si>
    <t>Komínek odvětrávací PVC</t>
  </si>
  <si>
    <t>Vnitřní vodovod</t>
  </si>
  <si>
    <t>Úprava vodovodní instalace</t>
  </si>
  <si>
    <t>Zařizovací předměty</t>
  </si>
  <si>
    <t>Demontáž klozetů splachovacích</t>
  </si>
  <si>
    <t>Demontáž pisoárových stání - 6ks</t>
  </si>
  <si>
    <t>Umyvadlo invalidní  64 x 55 cm, bílé</t>
  </si>
  <si>
    <t>Baterie umyvadlová stoján. ruční, vč. otvír.odpadu</t>
  </si>
  <si>
    <t>Klozet kombi LYRA Plus, nádrž s armat. odpad šikmý</t>
  </si>
  <si>
    <t>Pisoár Golem s radarovým splachovačem</t>
  </si>
  <si>
    <t>Madla</t>
  </si>
  <si>
    <t>Rozvod potrubí</t>
  </si>
  <si>
    <t>Úprava přívodu k radiátoru</t>
  </si>
  <si>
    <t>Otopná tělesa</t>
  </si>
  <si>
    <t>Demontáž otopných těles panelových</t>
  </si>
  <si>
    <t>Radik  POZINK VK 22 600/600</t>
  </si>
  <si>
    <t>Montáž panel.těles 2řadých, s odvzduš.,1200 mm</t>
  </si>
  <si>
    <t>Napuštění vody do otopného systému - bez kotle</t>
  </si>
  <si>
    <t>Konstrukce truhlářské</t>
  </si>
  <si>
    <t>Montáž dveří do zárubně,otevíravých 1kř.do 0,8 m</t>
  </si>
  <si>
    <t>Montáž dveří do zárubně,otevíravých 1kř.nad 0,8 m</t>
  </si>
  <si>
    <t>Montáž kliky a štítku</t>
  </si>
  <si>
    <t>Podlahy z dlaždic</t>
  </si>
  <si>
    <t>Vysávání podlah prům.vysavačem pro pokládku dlažby</t>
  </si>
  <si>
    <t>Penetrace podkladu</t>
  </si>
  <si>
    <t>Montáž podlah keram.,hladké, tmel, 30x30 cm</t>
  </si>
  <si>
    <t>Obklady (keramické)</t>
  </si>
  <si>
    <t>Vyrovnání podkladu maltou ze SMS tl. do 7 mm</t>
  </si>
  <si>
    <t>Penetrace podkladu pod obklady</t>
  </si>
  <si>
    <t>Obklad vnitřní stěn keramický, do tmele, 25x25 cm</t>
  </si>
  <si>
    <t>Nátěry</t>
  </si>
  <si>
    <t>Nátěr stávající zárubně</t>
  </si>
  <si>
    <t>Malby</t>
  </si>
  <si>
    <t>Odstranění malby oškrábáním v místnosti H do 3,8 m</t>
  </si>
  <si>
    <t>Penetrace podkladu nátěrem</t>
  </si>
  <si>
    <t>Malba Remal standard, bílá, bez penetr.,2 x</t>
  </si>
  <si>
    <t>Malba disperzní interiér.HET Hetline,výška do 3,8m, pro sádrokartony, 2 x nátěr</t>
  </si>
  <si>
    <t>Zakrytí podlah</t>
  </si>
  <si>
    <t>Lešení a stavební výtahy</t>
  </si>
  <si>
    <t>Lešení lehké pomocné, výška podlahy do 2,5 m</t>
  </si>
  <si>
    <t>Bourání konstrukcí</t>
  </si>
  <si>
    <t>Vyvěšení dřevěných dveřních křídel pl. do 2 m2</t>
  </si>
  <si>
    <t>Vybourání kovových dveřních zárubní pl. do 2 m2</t>
  </si>
  <si>
    <t>Bourání dlažeb keramických</t>
  </si>
  <si>
    <t>Bourání mazanin betonových  tl. 10 cm, pl. 4 m2</t>
  </si>
  <si>
    <t>Bourání příček z cihel pálených plných tl. 65 mm</t>
  </si>
  <si>
    <t>Prorážení otvorů a ostatní bourací práce</t>
  </si>
  <si>
    <t>Odsekání vnitřních obkladů stěn nad 2 m2</t>
  </si>
  <si>
    <t>Vysekání rýh ve zdi cihelné 5 x 7 cm</t>
  </si>
  <si>
    <t>Přesun hmot pro vnitřní kanalizaci, výšky do 6 m</t>
  </si>
  <si>
    <t>Přesun hmot pro zařizovací předměty, výšky do 6 m</t>
  </si>
  <si>
    <t>Přesun hmot pro otopná tělesa, výšky do 6 m</t>
  </si>
  <si>
    <t>Přesun hmot pro truhlářské konstr., výšky do 6 m</t>
  </si>
  <si>
    <t>Přesun hmot pro podlahy z dlaždic, výšky do 6 m</t>
  </si>
  <si>
    <t>Přesun hmot pro obklady keramické, výšky do 6 m</t>
  </si>
  <si>
    <t>Ostatní přesuny hmot</t>
  </si>
  <si>
    <t>Přesun hmot pro opravy a údržbu do v. 6 m, nošením</t>
  </si>
  <si>
    <t>Elektromontáže</t>
  </si>
  <si>
    <t>Demontáž zářivkových svítidel</t>
  </si>
  <si>
    <t>Úprava elektroinstalace</t>
  </si>
  <si>
    <t>Přesuny sutí</t>
  </si>
  <si>
    <t>Vnitrostaveništní doprava suti do 10 m</t>
  </si>
  <si>
    <t>Svislá doprava suti a vybour. hmot za 2.NP nošením</t>
  </si>
  <si>
    <t>Nakládání vybouraných hmot na dopravní prostředek</t>
  </si>
  <si>
    <t>Odvoz suti a vybour. hmot na skládku do 1 km</t>
  </si>
  <si>
    <t>Příplatek k odvozu za každý další 1 km</t>
  </si>
  <si>
    <t>Poplatek za sklád.suti-směs bet.a cihel do 30x30cm</t>
  </si>
  <si>
    <t>Ostatní materiál</t>
  </si>
  <si>
    <t>Obkládačka 20x25</t>
  </si>
  <si>
    <t>Dlaždice, 30 x 30, sv. béžová, matný</t>
  </si>
  <si>
    <t>Dveře vnitřní pozink 60x197 cm</t>
  </si>
  <si>
    <t>Dveře vnitřní pozink 90x197 cm</t>
  </si>
  <si>
    <t>Dveřní kování</t>
  </si>
  <si>
    <t>Zdroj napájecí</t>
  </si>
  <si>
    <t>Dveře vnitřní fóliované plné 1kř. 80x197 cm</t>
  </si>
  <si>
    <t>Doba výstavby:</t>
  </si>
  <si>
    <t>Začátek výstavby:</t>
  </si>
  <si>
    <t>Konec výstavby:</t>
  </si>
  <si>
    <t>Zpracováno dne:</t>
  </si>
  <si>
    <t>MJ</t>
  </si>
  <si>
    <t>kus</t>
  </si>
  <si>
    <t>m2</t>
  </si>
  <si>
    <t>m</t>
  </si>
  <si>
    <t>soub</t>
  </si>
  <si>
    <t>soubor</t>
  </si>
  <si>
    <t>m3</t>
  </si>
  <si>
    <t>t</t>
  </si>
  <si>
    <t>Množství</t>
  </si>
  <si>
    <t>Objednatel:</t>
  </si>
  <si>
    <t>Projektant:</t>
  </si>
  <si>
    <t>Zhotovitel:</t>
  </si>
  <si>
    <t>Zpracoval:</t>
  </si>
  <si>
    <t>Jednotková cena (Kč)</t>
  </si>
  <si>
    <t>Celkem:</t>
  </si>
  <si>
    <t>Náklady celkem (Kč)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</si>
  <si>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</si>
  <si>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</si>
  <si>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</si>
  <si>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</si>
  <si>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</si>
  <si>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</si>
  <si>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</si>
  <si>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</si>
  <si>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</si>
  <si>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</si>
  <si>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</si>
  <si>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</si>
  <si>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</si>
  <si>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</si>
  <si>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</si>
  <si>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</si>
  <si>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</si>
  <si>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</si>
  <si>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</si>
  <si>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</si>
  <si>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</si>
  <si>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Režie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</si>
  <si>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</si>
  <si>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</si>
  <si>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</si>
  <si>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</si>
  <si>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</si>
  <si>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</si>
  <si>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</si>
  <si>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</si>
  <si>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</si>
  <si>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</si>
  <si>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</si>
  <si>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</si>
  <si>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</si>
  <si>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</si>
  <si>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</si>
  <si>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</si>
  <si>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</si>
  <si>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</si>
  <si>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</si>
  <si>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</si>
  <si>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</si>
  <si>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</si>
  <si>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</si>
  <si>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</si>
  <si>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Objekt</t>
  </si>
  <si>
    <t>Rekonstrukce sociálního zařízení 1.stupeň - 1NP</t>
  </si>
  <si>
    <t>ZŠ Nádražní</t>
  </si>
  <si>
    <t>Česká Třebová</t>
  </si>
  <si>
    <t>Rozměry</t>
  </si>
  <si>
    <t>14.05.2019</t>
  </si>
  <si>
    <t>Cena/MJ</t>
  </si>
  <si>
    <t>(Kč)</t>
  </si>
  <si>
    <t>Náklady (Kč)</t>
  </si>
  <si>
    <t>Dodávka</t>
  </si>
  <si>
    <t> </t>
  </si>
  <si>
    <t>DS Intex s.r.o.</t>
  </si>
  <si>
    <t>Brettler Jaromír</t>
  </si>
  <si>
    <t>Celkem</t>
  </si>
  <si>
    <t>Hmotnost (t)</t>
  </si>
  <si>
    <t>Jednot.</t>
  </si>
  <si>
    <t>Cenová</t>
  </si>
  <si>
    <t>soustava</t>
  </si>
  <si>
    <t>RTS I / 2019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</si>
  <si>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</si>
  <si>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</si>
  <si>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</si>
  <si>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</si>
  <si>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</si>
  <si>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</si>
  <si>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</si>
  <si>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</si>
  <si>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</si>
  <si>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</si>
  <si>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</si>
  <si>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</si>
  <si>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34_</t>
  </si>
  <si>
    <t>41_</t>
  </si>
  <si>
    <t>61_</t>
  </si>
  <si>
    <t>63_</t>
  </si>
  <si>
    <t>64_</t>
  </si>
  <si>
    <t>721_</t>
  </si>
  <si>
    <t>722_</t>
  </si>
  <si>
    <t>725_</t>
  </si>
  <si>
    <t>733_</t>
  </si>
  <si>
    <t>735_</t>
  </si>
  <si>
    <t>766_</t>
  </si>
  <si>
    <t>771_</t>
  </si>
  <si>
    <t>781_</t>
  </si>
  <si>
    <t>783_</t>
  </si>
  <si>
    <t>784_</t>
  </si>
  <si>
    <t>94_</t>
  </si>
  <si>
    <t>96_</t>
  </si>
  <si>
    <t>97_</t>
  </si>
  <si>
    <t>H721_</t>
  </si>
  <si>
    <t>H725_</t>
  </si>
  <si>
    <t>H735_</t>
  </si>
  <si>
    <t>H766_</t>
  </si>
  <si>
    <t>H771_</t>
  </si>
  <si>
    <t>H781_</t>
  </si>
  <si>
    <t>H99_</t>
  </si>
  <si>
    <t>M21_</t>
  </si>
  <si>
    <t>S_</t>
  </si>
  <si>
    <t>Z99999_</t>
  </si>
  <si>
    <t>3_</t>
  </si>
  <si>
    <t>4_</t>
  </si>
  <si>
    <t>6_</t>
  </si>
  <si>
    <t>72_</t>
  </si>
  <si>
    <t>73_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</si>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</sst>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0"/>
      <color indexed="56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3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8" fillId="34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3" fillId="33" borderId="17" xfId="0" applyNumberFormat="1" applyFont="1" applyFill="1" applyBorder="1" applyAlignment="1" applyProtection="1">
      <alignment horizontal="left"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49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horizontal="right" vertical="center"/>
      <protection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40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left" vertical="center"/>
      <protection/>
    </xf>
    <xf numFmtId="49" fontId="9" fillId="34" borderId="44" xfId="0" applyNumberFormat="1" applyFont="1" applyFill="1" applyBorder="1" applyAlignment="1" applyProtection="1">
      <alignment horizontal="left" vertical="center"/>
      <protection/>
    </xf>
    <xf numFmtId="0" fontId="9" fillId="34" borderId="45" xfId="0" applyNumberFormat="1" applyFont="1" applyFill="1" applyBorder="1" applyAlignment="1" applyProtection="1">
      <alignment horizontal="left" vertical="center"/>
      <protection/>
    </xf>
    <xf numFmtId="49" fontId="10" fillId="0" borderId="46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47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W23" sqref="AW23:BD23"/>
    </sheetView>
  </sheetViews>
  <sheetFormatPr defaultColWidth="11.57421875" defaultRowHeight="12.75"/>
  <cols>
    <col min="1" max="64" width="2.8515625" style="0" customWidth="1"/>
    <col min="65" max="250" width="11.57421875" style="0" customWidth="1"/>
    <col min="251" max="254" width="12.140625" style="0" hidden="1" customWidth="1"/>
  </cols>
  <sheetData>
    <row r="1" spans="1:64" ht="72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2.75">
      <c r="A2" s="96" t="s">
        <v>1</v>
      </c>
      <c r="B2" s="97"/>
      <c r="C2" s="97"/>
      <c r="D2" s="97"/>
      <c r="E2" s="97"/>
      <c r="F2" s="98" t="str">
        <f>'Stavební rozpočet'!D2</f>
        <v>Rekonstrukce sociálního zařízení 1.stupeň - 1NP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100" t="s">
        <v>285</v>
      </c>
      <c r="AK2" s="97"/>
      <c r="AL2" s="97"/>
      <c r="AM2" s="97"/>
      <c r="AN2" s="97"/>
      <c r="AO2" s="97"/>
      <c r="AP2" s="97"/>
      <c r="AQ2" s="101" t="str">
        <f>'Stavební rozpočet'!G2</f>
        <v> </v>
      </c>
      <c r="AR2" s="97"/>
      <c r="AS2" s="97"/>
      <c r="AT2" s="97"/>
      <c r="AU2" s="97"/>
      <c r="AV2" s="97"/>
      <c r="AW2" s="101" t="s">
        <v>298</v>
      </c>
      <c r="AX2" s="97"/>
      <c r="AY2" s="97"/>
      <c r="AZ2" s="97"/>
      <c r="BA2" s="97"/>
      <c r="BB2" s="97"/>
      <c r="BC2" s="97"/>
      <c r="BD2" s="101" t="str">
        <f>'Stavební rozpočet'!I2</f>
        <v> </v>
      </c>
      <c r="BE2" s="97"/>
      <c r="BF2" s="97"/>
      <c r="BG2" s="97"/>
      <c r="BH2" s="97"/>
      <c r="BI2" s="97"/>
      <c r="BJ2" s="97"/>
      <c r="BK2" s="97"/>
      <c r="BL2" s="102"/>
      <c r="BM2" s="5"/>
    </row>
    <row r="3" spans="1:65" ht="12.75">
      <c r="A3" s="93"/>
      <c r="B3" s="86"/>
      <c r="C3" s="86"/>
      <c r="D3" s="86"/>
      <c r="E3" s="8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91"/>
      <c r="BM3" s="5"/>
    </row>
    <row r="4" spans="1:65" ht="12.75">
      <c r="A4" s="85" t="s">
        <v>2</v>
      </c>
      <c r="B4" s="86"/>
      <c r="C4" s="86"/>
      <c r="D4" s="86"/>
      <c r="E4" s="86"/>
      <c r="F4" s="89" t="str">
        <f>'Stavební rozpočet'!D4</f>
        <v>ZŠ Nádražní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90" t="s">
        <v>286</v>
      </c>
      <c r="AK4" s="86"/>
      <c r="AL4" s="86"/>
      <c r="AM4" s="86"/>
      <c r="AN4" s="86"/>
      <c r="AO4" s="86"/>
      <c r="AP4" s="86"/>
      <c r="AQ4" s="89" t="str">
        <f>'Stavební rozpočet'!G4</f>
        <v> </v>
      </c>
      <c r="AR4" s="86"/>
      <c r="AS4" s="86"/>
      <c r="AT4" s="86"/>
      <c r="AU4" s="86"/>
      <c r="AV4" s="86"/>
      <c r="AW4" s="89" t="s">
        <v>299</v>
      </c>
      <c r="AX4" s="86"/>
      <c r="AY4" s="86"/>
      <c r="AZ4" s="86"/>
      <c r="BA4" s="86"/>
      <c r="BB4" s="86"/>
      <c r="BC4" s="86"/>
      <c r="BD4" s="89" t="str">
        <f>'Stavební rozpočet'!I4</f>
        <v> </v>
      </c>
      <c r="BE4" s="86"/>
      <c r="BF4" s="86"/>
      <c r="BG4" s="86"/>
      <c r="BH4" s="86"/>
      <c r="BI4" s="86"/>
      <c r="BJ4" s="86"/>
      <c r="BK4" s="86"/>
      <c r="BL4" s="91"/>
      <c r="BM4" s="5"/>
    </row>
    <row r="5" spans="1:65" ht="12.75">
      <c r="A5" s="9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91"/>
      <c r="BM5" s="5"/>
    </row>
    <row r="6" spans="1:65" ht="12.75">
      <c r="A6" s="85" t="s">
        <v>3</v>
      </c>
      <c r="B6" s="86"/>
      <c r="C6" s="86"/>
      <c r="D6" s="86"/>
      <c r="E6" s="86"/>
      <c r="F6" s="89" t="str">
        <f>'Stavební rozpočet'!D6</f>
        <v>Česká Třebová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90" t="s">
        <v>287</v>
      </c>
      <c r="AK6" s="86"/>
      <c r="AL6" s="86"/>
      <c r="AM6" s="86"/>
      <c r="AN6" s="86"/>
      <c r="AO6" s="86"/>
      <c r="AP6" s="86"/>
      <c r="AQ6" s="89" t="str">
        <f>'Stavební rozpočet'!G6</f>
        <v> </v>
      </c>
      <c r="AR6" s="86"/>
      <c r="AS6" s="86"/>
      <c r="AT6" s="86"/>
      <c r="AU6" s="86"/>
      <c r="AV6" s="86"/>
      <c r="AW6" s="89" t="s">
        <v>300</v>
      </c>
      <c r="AX6" s="86"/>
      <c r="AY6" s="86"/>
      <c r="AZ6" s="86"/>
      <c r="BA6" s="86"/>
      <c r="BB6" s="86"/>
      <c r="BC6" s="86"/>
      <c r="BD6" s="89"/>
      <c r="BE6" s="86"/>
      <c r="BF6" s="86"/>
      <c r="BG6" s="86"/>
      <c r="BH6" s="86"/>
      <c r="BI6" s="86"/>
      <c r="BJ6" s="86"/>
      <c r="BK6" s="86"/>
      <c r="BL6" s="91"/>
      <c r="BM6" s="5"/>
    </row>
    <row r="7" spans="1:65" ht="12.75">
      <c r="A7" s="9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91"/>
      <c r="BM7" s="5"/>
    </row>
    <row r="8" spans="1:65" ht="12.75">
      <c r="A8" s="85" t="s">
        <v>4</v>
      </c>
      <c r="B8" s="86"/>
      <c r="C8" s="86"/>
      <c r="D8" s="86"/>
      <c r="E8" s="86"/>
      <c r="F8" s="89" t="str">
        <f>'Stavební rozpočet'!D8</f>
        <v> 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90" t="s">
        <v>288</v>
      </c>
      <c r="AK8" s="86"/>
      <c r="AL8" s="86"/>
      <c r="AM8" s="86"/>
      <c r="AN8" s="86"/>
      <c r="AO8" s="86"/>
      <c r="AP8" s="86"/>
      <c r="AQ8" s="89" t="str">
        <f>'Stavební rozpočet'!G8</f>
        <v>14.05.2019</v>
      </c>
      <c r="AR8" s="86"/>
      <c r="AS8" s="86"/>
      <c r="AT8" s="86"/>
      <c r="AU8" s="86"/>
      <c r="AV8" s="86"/>
      <c r="AW8" s="89" t="s">
        <v>301</v>
      </c>
      <c r="AX8" s="86"/>
      <c r="AY8" s="86"/>
      <c r="AZ8" s="86"/>
      <c r="BA8" s="86"/>
      <c r="BB8" s="86"/>
      <c r="BC8" s="86"/>
      <c r="BD8" s="89"/>
      <c r="BE8" s="86"/>
      <c r="BF8" s="86"/>
      <c r="BG8" s="86"/>
      <c r="BH8" s="86"/>
      <c r="BI8" s="86"/>
      <c r="BJ8" s="86"/>
      <c r="BK8" s="86"/>
      <c r="BL8" s="91"/>
      <c r="BM8" s="5"/>
    </row>
    <row r="9" spans="1:65" ht="12.7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92"/>
      <c r="BM9" s="5"/>
    </row>
    <row r="10" spans="1:65" ht="12.75">
      <c r="A10" s="76" t="s">
        <v>5</v>
      </c>
      <c r="B10" s="84"/>
      <c r="C10" s="76" t="s">
        <v>84</v>
      </c>
      <c r="D10" s="77"/>
      <c r="E10" s="77"/>
      <c r="F10" s="77"/>
      <c r="G10" s="77"/>
      <c r="H10" s="84"/>
      <c r="I10" s="76" t="s">
        <v>184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84"/>
      <c r="AP10" s="76" t="s">
        <v>289</v>
      </c>
      <c r="AQ10" s="84"/>
      <c r="AR10" s="76" t="s">
        <v>297</v>
      </c>
      <c r="AS10" s="77"/>
      <c r="AT10" s="77"/>
      <c r="AU10" s="77"/>
      <c r="AV10" s="84"/>
      <c r="AW10" s="76" t="s">
        <v>302</v>
      </c>
      <c r="AX10" s="77"/>
      <c r="AY10" s="77"/>
      <c r="AZ10" s="77"/>
      <c r="BA10" s="77"/>
      <c r="BB10" s="77"/>
      <c r="BC10" s="77"/>
      <c r="BD10" s="84"/>
      <c r="BE10" s="76" t="s">
        <v>304</v>
      </c>
      <c r="BF10" s="77"/>
      <c r="BG10" s="77"/>
      <c r="BH10" s="77"/>
      <c r="BI10" s="77"/>
      <c r="BJ10" s="77"/>
      <c r="BK10" s="77"/>
      <c r="BL10" s="78"/>
      <c r="BM10" s="5"/>
    </row>
    <row r="11" spans="1:64" ht="12.75">
      <c r="A11" s="79" t="s">
        <v>6</v>
      </c>
      <c r="B11" s="80"/>
      <c r="C11" s="79" t="s">
        <v>37</v>
      </c>
      <c r="D11" s="80"/>
      <c r="E11" s="80"/>
      <c r="F11" s="80"/>
      <c r="G11" s="80"/>
      <c r="H11" s="80"/>
      <c r="I11" s="79" t="s">
        <v>185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79" t="s">
        <v>6</v>
      </c>
      <c r="AQ11" s="80"/>
      <c r="AR11" s="81" t="s">
        <v>6</v>
      </c>
      <c r="AS11" s="82"/>
      <c r="AT11" s="82"/>
      <c r="AU11" s="82"/>
      <c r="AV11" s="82"/>
      <c r="AW11" s="81" t="s">
        <v>6</v>
      </c>
      <c r="AX11" s="82"/>
      <c r="AY11" s="82"/>
      <c r="AZ11" s="82"/>
      <c r="BA11" s="82"/>
      <c r="BB11" s="82"/>
      <c r="BC11" s="82"/>
      <c r="BD11" s="82"/>
      <c r="BE11" s="83">
        <f>SUM(BE12:BE13)</f>
        <v>0</v>
      </c>
      <c r="BF11" s="82"/>
      <c r="BG11" s="82"/>
      <c r="BH11" s="82"/>
      <c r="BI11" s="82"/>
      <c r="BJ11" s="82"/>
      <c r="BK11" s="82"/>
      <c r="BL11" s="82"/>
    </row>
    <row r="12" spans="1:253" ht="12.75">
      <c r="A12" s="73" t="s">
        <v>7</v>
      </c>
      <c r="B12" s="74"/>
      <c r="C12" s="73" t="s">
        <v>85</v>
      </c>
      <c r="D12" s="74"/>
      <c r="E12" s="74"/>
      <c r="F12" s="74"/>
      <c r="G12" s="74"/>
      <c r="H12" s="74"/>
      <c r="I12" s="73" t="s">
        <v>186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3" t="s">
        <v>290</v>
      </c>
      <c r="AQ12" s="74"/>
      <c r="AR12" s="65">
        <v>3</v>
      </c>
      <c r="AS12" s="66"/>
      <c r="AT12" s="66"/>
      <c r="AU12" s="66"/>
      <c r="AV12" s="66"/>
      <c r="AW12" s="65"/>
      <c r="AX12" s="66"/>
      <c r="AY12" s="66"/>
      <c r="AZ12" s="66"/>
      <c r="BA12" s="66"/>
      <c r="BB12" s="66"/>
      <c r="BC12" s="66"/>
      <c r="BD12" s="66"/>
      <c r="BE12" s="65">
        <f>IR12*AR12+IS12*AR12</f>
        <v>0</v>
      </c>
      <c r="BF12" s="66"/>
      <c r="BG12" s="66"/>
      <c r="BH12" s="66"/>
      <c r="BI12" s="66"/>
      <c r="BJ12" s="66"/>
      <c r="BK12" s="66"/>
      <c r="BL12" s="66"/>
      <c r="IR12" s="7">
        <f>AW12*0.633266998341625</f>
        <v>0</v>
      </c>
      <c r="IS12" s="7">
        <f>AW12*(1-0.633266998341625)</f>
        <v>0</v>
      </c>
    </row>
    <row r="13" spans="1:253" ht="12.75">
      <c r="A13" s="73" t="s">
        <v>8</v>
      </c>
      <c r="B13" s="74"/>
      <c r="C13" s="73" t="s">
        <v>86</v>
      </c>
      <c r="D13" s="74"/>
      <c r="E13" s="74"/>
      <c r="F13" s="74"/>
      <c r="G13" s="74"/>
      <c r="H13" s="74"/>
      <c r="I13" s="73" t="s">
        <v>187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3" t="s">
        <v>290</v>
      </c>
      <c r="AQ13" s="74"/>
      <c r="AR13" s="65">
        <v>1</v>
      </c>
      <c r="AS13" s="66"/>
      <c r="AT13" s="66"/>
      <c r="AU13" s="66"/>
      <c r="AV13" s="66"/>
      <c r="AW13" s="65"/>
      <c r="AX13" s="66"/>
      <c r="AY13" s="66"/>
      <c r="AZ13" s="66"/>
      <c r="BA13" s="66"/>
      <c r="BB13" s="66"/>
      <c r="BC13" s="66"/>
      <c r="BD13" s="66"/>
      <c r="BE13" s="65">
        <f>IR13*AR13+IS13*AR13</f>
        <v>0</v>
      </c>
      <c r="BF13" s="66"/>
      <c r="BG13" s="66"/>
      <c r="BH13" s="66"/>
      <c r="BI13" s="66"/>
      <c r="BJ13" s="66"/>
      <c r="BK13" s="66"/>
      <c r="BL13" s="66"/>
      <c r="IR13" s="7">
        <f>AW13*0.68453637660485</f>
        <v>0</v>
      </c>
      <c r="IS13" s="7">
        <f>AW13*(1-0.68453637660485)</f>
        <v>0</v>
      </c>
    </row>
    <row r="14" spans="1:64" ht="12.75">
      <c r="A14" s="67" t="s">
        <v>6</v>
      </c>
      <c r="B14" s="68"/>
      <c r="C14" s="67" t="s">
        <v>40</v>
      </c>
      <c r="D14" s="68"/>
      <c r="E14" s="68"/>
      <c r="F14" s="68"/>
      <c r="G14" s="68"/>
      <c r="H14" s="68"/>
      <c r="I14" s="67" t="s">
        <v>188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7" t="s">
        <v>6</v>
      </c>
      <c r="AQ14" s="68"/>
      <c r="AR14" s="69" t="s">
        <v>6</v>
      </c>
      <c r="AS14" s="70"/>
      <c r="AT14" s="70"/>
      <c r="AU14" s="70"/>
      <c r="AV14" s="70"/>
      <c r="AW14" s="69" t="s">
        <v>6</v>
      </c>
      <c r="AX14" s="70"/>
      <c r="AY14" s="70"/>
      <c r="AZ14" s="70"/>
      <c r="BA14" s="70"/>
      <c r="BB14" s="70"/>
      <c r="BC14" s="70"/>
      <c r="BD14" s="70"/>
      <c r="BE14" s="75">
        <f>SUM(BE15:BE16)</f>
        <v>0</v>
      </c>
      <c r="BF14" s="70"/>
      <c r="BG14" s="70"/>
      <c r="BH14" s="70"/>
      <c r="BI14" s="70"/>
      <c r="BJ14" s="70"/>
      <c r="BK14" s="70"/>
      <c r="BL14" s="70"/>
    </row>
    <row r="15" spans="1:253" ht="12.75">
      <c r="A15" s="73" t="s">
        <v>9</v>
      </c>
      <c r="B15" s="74"/>
      <c r="C15" s="73" t="s">
        <v>87</v>
      </c>
      <c r="D15" s="74"/>
      <c r="E15" s="74"/>
      <c r="F15" s="74"/>
      <c r="G15" s="74"/>
      <c r="H15" s="74"/>
      <c r="I15" s="73" t="s">
        <v>189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3" t="s">
        <v>291</v>
      </c>
      <c r="AQ15" s="74"/>
      <c r="AR15" s="65">
        <v>4</v>
      </c>
      <c r="AS15" s="66"/>
      <c r="AT15" s="66"/>
      <c r="AU15" s="66"/>
      <c r="AV15" s="66"/>
      <c r="AW15" s="65"/>
      <c r="AX15" s="66"/>
      <c r="AY15" s="66"/>
      <c r="AZ15" s="66"/>
      <c r="BA15" s="66"/>
      <c r="BB15" s="66"/>
      <c r="BC15" s="66"/>
      <c r="BD15" s="66"/>
      <c r="BE15" s="65">
        <f>IR15*AR15+IS15*AR15</f>
        <v>0</v>
      </c>
      <c r="BF15" s="66"/>
      <c r="BG15" s="66"/>
      <c r="BH15" s="66"/>
      <c r="BI15" s="66"/>
      <c r="BJ15" s="66"/>
      <c r="BK15" s="66"/>
      <c r="BL15" s="66"/>
      <c r="IR15" s="7">
        <f>AW15*0.449387755102041</f>
        <v>0</v>
      </c>
      <c r="IS15" s="7">
        <f>AW15*(1-0.449387755102041)</f>
        <v>0</v>
      </c>
    </row>
    <row r="16" spans="1:253" ht="12.75">
      <c r="A16" s="73" t="s">
        <v>10</v>
      </c>
      <c r="B16" s="74"/>
      <c r="C16" s="73" t="s">
        <v>88</v>
      </c>
      <c r="D16" s="74"/>
      <c r="E16" s="74"/>
      <c r="F16" s="74"/>
      <c r="G16" s="74"/>
      <c r="H16" s="74"/>
      <c r="I16" s="73" t="s">
        <v>190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3" t="s">
        <v>291</v>
      </c>
      <c r="AQ16" s="74"/>
      <c r="AR16" s="65">
        <v>2.4</v>
      </c>
      <c r="AS16" s="66"/>
      <c r="AT16" s="66"/>
      <c r="AU16" s="66"/>
      <c r="AV16" s="66"/>
      <c r="AW16" s="65"/>
      <c r="AX16" s="66"/>
      <c r="AY16" s="66"/>
      <c r="AZ16" s="66"/>
      <c r="BA16" s="66"/>
      <c r="BB16" s="66"/>
      <c r="BC16" s="66"/>
      <c r="BD16" s="66"/>
      <c r="BE16" s="65">
        <f>IR16*AR16+IS16*AR16</f>
        <v>0</v>
      </c>
      <c r="BF16" s="66"/>
      <c r="BG16" s="66"/>
      <c r="BH16" s="66"/>
      <c r="BI16" s="66"/>
      <c r="BJ16" s="66"/>
      <c r="BK16" s="66"/>
      <c r="BL16" s="66"/>
      <c r="IR16" s="7">
        <f>AW16*0.566947890818859</f>
        <v>0</v>
      </c>
      <c r="IS16" s="7">
        <f>AW16*(1-0.566947890818859)</f>
        <v>0</v>
      </c>
    </row>
    <row r="17" spans="1:64" ht="12.75">
      <c r="A17" s="67" t="s">
        <v>6</v>
      </c>
      <c r="B17" s="68"/>
      <c r="C17" s="67" t="s">
        <v>47</v>
      </c>
      <c r="D17" s="68"/>
      <c r="E17" s="68"/>
      <c r="F17" s="68"/>
      <c r="G17" s="68"/>
      <c r="H17" s="68"/>
      <c r="I17" s="67" t="s">
        <v>191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7" t="s">
        <v>6</v>
      </c>
      <c r="AQ17" s="68"/>
      <c r="AR17" s="69" t="s">
        <v>6</v>
      </c>
      <c r="AS17" s="70"/>
      <c r="AT17" s="70"/>
      <c r="AU17" s="70"/>
      <c r="AV17" s="70"/>
      <c r="AW17" s="69" t="s">
        <v>6</v>
      </c>
      <c r="AX17" s="70"/>
      <c r="AY17" s="70"/>
      <c r="AZ17" s="70"/>
      <c r="BA17" s="70"/>
      <c r="BB17" s="70"/>
      <c r="BC17" s="70"/>
      <c r="BD17" s="70"/>
      <c r="BE17" s="75">
        <f>SUM(BE18:BE18)</f>
        <v>0</v>
      </c>
      <c r="BF17" s="70"/>
      <c r="BG17" s="70"/>
      <c r="BH17" s="70"/>
      <c r="BI17" s="70"/>
      <c r="BJ17" s="70"/>
      <c r="BK17" s="70"/>
      <c r="BL17" s="70"/>
    </row>
    <row r="18" spans="1:253" ht="12.75">
      <c r="A18" s="73" t="s">
        <v>11</v>
      </c>
      <c r="B18" s="74"/>
      <c r="C18" s="73" t="s">
        <v>89</v>
      </c>
      <c r="D18" s="74"/>
      <c r="E18" s="74"/>
      <c r="F18" s="74"/>
      <c r="G18" s="74"/>
      <c r="H18" s="74"/>
      <c r="I18" s="73" t="s">
        <v>192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3" t="s">
        <v>291</v>
      </c>
      <c r="AQ18" s="74"/>
      <c r="AR18" s="65">
        <v>16.412</v>
      </c>
      <c r="AS18" s="66"/>
      <c r="AT18" s="66"/>
      <c r="AU18" s="66"/>
      <c r="AV18" s="66"/>
      <c r="AW18" s="65"/>
      <c r="AX18" s="66"/>
      <c r="AY18" s="66"/>
      <c r="AZ18" s="66"/>
      <c r="BA18" s="66"/>
      <c r="BB18" s="66"/>
      <c r="BC18" s="66"/>
      <c r="BD18" s="66"/>
      <c r="BE18" s="65">
        <f>IR18*AR18+IS18*AR18</f>
        <v>0</v>
      </c>
      <c r="BF18" s="66"/>
      <c r="BG18" s="66"/>
      <c r="BH18" s="66"/>
      <c r="BI18" s="66"/>
      <c r="BJ18" s="66"/>
      <c r="BK18" s="66"/>
      <c r="BL18" s="66"/>
      <c r="IR18" s="7">
        <f>AW18*0.341751746372918</f>
        <v>0</v>
      </c>
      <c r="IS18" s="7">
        <f>AW18*(1-0.341751746372918)</f>
        <v>0</v>
      </c>
    </row>
    <row r="19" spans="1:64" ht="12.75">
      <c r="A19" s="67" t="s">
        <v>6</v>
      </c>
      <c r="B19" s="68"/>
      <c r="C19" s="67" t="s">
        <v>67</v>
      </c>
      <c r="D19" s="68"/>
      <c r="E19" s="68"/>
      <c r="F19" s="68"/>
      <c r="G19" s="68"/>
      <c r="H19" s="68"/>
      <c r="I19" s="67" t="s">
        <v>193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7" t="s">
        <v>6</v>
      </c>
      <c r="AQ19" s="68"/>
      <c r="AR19" s="69" t="s">
        <v>6</v>
      </c>
      <c r="AS19" s="70"/>
      <c r="AT19" s="70"/>
      <c r="AU19" s="70"/>
      <c r="AV19" s="70"/>
      <c r="AW19" s="69" t="s">
        <v>6</v>
      </c>
      <c r="AX19" s="70"/>
      <c r="AY19" s="70"/>
      <c r="AZ19" s="70"/>
      <c r="BA19" s="70"/>
      <c r="BB19" s="70"/>
      <c r="BC19" s="70"/>
      <c r="BD19" s="70"/>
      <c r="BE19" s="75">
        <f>SUM(BE20:BE25)</f>
        <v>0</v>
      </c>
      <c r="BF19" s="70"/>
      <c r="BG19" s="70"/>
      <c r="BH19" s="70"/>
      <c r="BI19" s="70"/>
      <c r="BJ19" s="70"/>
      <c r="BK19" s="70"/>
      <c r="BL19" s="70"/>
    </row>
    <row r="20" spans="1:253" ht="12.75">
      <c r="A20" s="73" t="s">
        <v>12</v>
      </c>
      <c r="B20" s="74"/>
      <c r="C20" s="73" t="s">
        <v>90</v>
      </c>
      <c r="D20" s="74"/>
      <c r="E20" s="74"/>
      <c r="F20" s="74"/>
      <c r="G20" s="74"/>
      <c r="H20" s="74"/>
      <c r="I20" s="73" t="s">
        <v>194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3" t="s">
        <v>292</v>
      </c>
      <c r="AQ20" s="74"/>
      <c r="AR20" s="65">
        <v>12</v>
      </c>
      <c r="AS20" s="66"/>
      <c r="AT20" s="66"/>
      <c r="AU20" s="66"/>
      <c r="AV20" s="66"/>
      <c r="AW20" s="65"/>
      <c r="AX20" s="66"/>
      <c r="AY20" s="66"/>
      <c r="AZ20" s="66"/>
      <c r="BA20" s="66"/>
      <c r="BB20" s="66"/>
      <c r="BC20" s="66"/>
      <c r="BD20" s="66"/>
      <c r="BE20" s="65">
        <f aca="true" t="shared" si="0" ref="BE20:BE25">IR20*AR20+IS20*AR20</f>
        <v>0</v>
      </c>
      <c r="BF20" s="66"/>
      <c r="BG20" s="66"/>
      <c r="BH20" s="66"/>
      <c r="BI20" s="66"/>
      <c r="BJ20" s="66"/>
      <c r="BK20" s="66"/>
      <c r="BL20" s="66"/>
      <c r="IR20" s="7">
        <f>AW20*0.484595744680851</f>
        <v>0</v>
      </c>
      <c r="IS20" s="7">
        <f>AW20*(1-0.484595744680851)</f>
        <v>0</v>
      </c>
    </row>
    <row r="21" spans="1:253" ht="12.75">
      <c r="A21" s="73" t="s">
        <v>13</v>
      </c>
      <c r="B21" s="74"/>
      <c r="C21" s="73" t="s">
        <v>91</v>
      </c>
      <c r="D21" s="74"/>
      <c r="E21" s="74"/>
      <c r="F21" s="74"/>
      <c r="G21" s="74"/>
      <c r="H21" s="74"/>
      <c r="I21" s="73" t="s">
        <v>195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3" t="s">
        <v>291</v>
      </c>
      <c r="AQ21" s="74"/>
      <c r="AR21" s="65">
        <v>80.912</v>
      </c>
      <c r="AS21" s="66"/>
      <c r="AT21" s="66"/>
      <c r="AU21" s="66"/>
      <c r="AV21" s="66"/>
      <c r="AW21" s="65"/>
      <c r="AX21" s="66"/>
      <c r="AY21" s="66"/>
      <c r="AZ21" s="66"/>
      <c r="BA21" s="66"/>
      <c r="BB21" s="66"/>
      <c r="BC21" s="66"/>
      <c r="BD21" s="66"/>
      <c r="BE21" s="65">
        <f t="shared" si="0"/>
        <v>0</v>
      </c>
      <c r="BF21" s="66"/>
      <c r="BG21" s="66"/>
      <c r="BH21" s="66"/>
      <c r="BI21" s="66"/>
      <c r="BJ21" s="66"/>
      <c r="BK21" s="66"/>
      <c r="BL21" s="66"/>
      <c r="IR21" s="7">
        <f>AW21*0.185567996937506</f>
        <v>0</v>
      </c>
      <c r="IS21" s="7">
        <f>AW21*(1-0.185567996937506)</f>
        <v>0</v>
      </c>
    </row>
    <row r="22" spans="1:253" ht="12.75">
      <c r="A22" s="73" t="s">
        <v>14</v>
      </c>
      <c r="B22" s="74"/>
      <c r="C22" s="73" t="s">
        <v>92</v>
      </c>
      <c r="D22" s="74"/>
      <c r="E22" s="74"/>
      <c r="F22" s="74"/>
      <c r="G22" s="74"/>
      <c r="H22" s="74"/>
      <c r="I22" s="73" t="s">
        <v>196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3" t="s">
        <v>291</v>
      </c>
      <c r="AQ22" s="74"/>
      <c r="AR22" s="65">
        <v>4</v>
      </c>
      <c r="AS22" s="66"/>
      <c r="AT22" s="66"/>
      <c r="AU22" s="66"/>
      <c r="AV22" s="66"/>
      <c r="AW22" s="65"/>
      <c r="AX22" s="66"/>
      <c r="AY22" s="66"/>
      <c r="AZ22" s="66"/>
      <c r="BA22" s="66"/>
      <c r="BB22" s="66"/>
      <c r="BC22" s="66"/>
      <c r="BD22" s="66"/>
      <c r="BE22" s="65">
        <f t="shared" si="0"/>
        <v>0</v>
      </c>
      <c r="BF22" s="66"/>
      <c r="BG22" s="66"/>
      <c r="BH22" s="66"/>
      <c r="BI22" s="66"/>
      <c r="BJ22" s="66"/>
      <c r="BK22" s="66"/>
      <c r="BL22" s="66"/>
      <c r="IR22" s="7">
        <f>AW22*0.159433551198257</f>
        <v>0</v>
      </c>
      <c r="IS22" s="7">
        <f>AW22*(1-0.159433551198257)</f>
        <v>0</v>
      </c>
    </row>
    <row r="23" spans="1:253" ht="12.75">
      <c r="A23" s="73" t="s">
        <v>15</v>
      </c>
      <c r="B23" s="74"/>
      <c r="C23" s="73" t="s">
        <v>93</v>
      </c>
      <c r="D23" s="74"/>
      <c r="E23" s="74"/>
      <c r="F23" s="74"/>
      <c r="G23" s="74"/>
      <c r="H23" s="74"/>
      <c r="I23" s="73" t="s">
        <v>197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3" t="s">
        <v>291</v>
      </c>
      <c r="AQ23" s="74"/>
      <c r="AR23" s="65">
        <v>24.39</v>
      </c>
      <c r="AS23" s="66"/>
      <c r="AT23" s="66"/>
      <c r="AU23" s="66"/>
      <c r="AV23" s="66"/>
      <c r="AW23" s="65"/>
      <c r="AX23" s="66"/>
      <c r="AY23" s="66"/>
      <c r="AZ23" s="66"/>
      <c r="BA23" s="66"/>
      <c r="BB23" s="66"/>
      <c r="BC23" s="66"/>
      <c r="BD23" s="66"/>
      <c r="BE23" s="65">
        <f t="shared" si="0"/>
        <v>0</v>
      </c>
      <c r="BF23" s="66"/>
      <c r="BG23" s="66"/>
      <c r="BH23" s="66"/>
      <c r="BI23" s="66"/>
      <c r="BJ23" s="66"/>
      <c r="BK23" s="66"/>
      <c r="BL23" s="66"/>
      <c r="IR23" s="7">
        <f>AW23*0.0477631578947369</f>
        <v>0</v>
      </c>
      <c r="IS23" s="7">
        <f>AW23*(1-0.0477631578947369)</f>
        <v>0</v>
      </c>
    </row>
    <row r="24" spans="1:253" ht="12.75">
      <c r="A24" s="73" t="s">
        <v>16</v>
      </c>
      <c r="B24" s="74"/>
      <c r="C24" s="73" t="s">
        <v>94</v>
      </c>
      <c r="D24" s="74"/>
      <c r="E24" s="74"/>
      <c r="F24" s="74"/>
      <c r="G24" s="74"/>
      <c r="H24" s="74"/>
      <c r="I24" s="73" t="s">
        <v>198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3" t="s">
        <v>292</v>
      </c>
      <c r="AQ24" s="74"/>
      <c r="AR24" s="65">
        <v>22</v>
      </c>
      <c r="AS24" s="66"/>
      <c r="AT24" s="66"/>
      <c r="AU24" s="66"/>
      <c r="AV24" s="66"/>
      <c r="AW24" s="65"/>
      <c r="AX24" s="66"/>
      <c r="AY24" s="66"/>
      <c r="AZ24" s="66"/>
      <c r="BA24" s="66"/>
      <c r="BB24" s="66"/>
      <c r="BC24" s="66"/>
      <c r="BD24" s="66"/>
      <c r="BE24" s="65">
        <f t="shared" si="0"/>
        <v>0</v>
      </c>
      <c r="BF24" s="66"/>
      <c r="BG24" s="66"/>
      <c r="BH24" s="66"/>
      <c r="BI24" s="66"/>
      <c r="BJ24" s="66"/>
      <c r="BK24" s="66"/>
      <c r="BL24" s="66"/>
      <c r="IR24" s="7">
        <f>AW24*0.242232558139535</f>
        <v>0</v>
      </c>
      <c r="IS24" s="7">
        <f>AW24*(1-0.242232558139535)</f>
        <v>0</v>
      </c>
    </row>
    <row r="25" spans="1:253" ht="12.75">
      <c r="A25" s="73" t="s">
        <v>17</v>
      </c>
      <c r="B25" s="74"/>
      <c r="C25" s="73" t="s">
        <v>95</v>
      </c>
      <c r="D25" s="74"/>
      <c r="E25" s="74"/>
      <c r="F25" s="74"/>
      <c r="G25" s="74"/>
      <c r="H25" s="74"/>
      <c r="I25" s="73" t="s">
        <v>199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3" t="s">
        <v>291</v>
      </c>
      <c r="AQ25" s="74"/>
      <c r="AR25" s="65">
        <v>6.66</v>
      </c>
      <c r="AS25" s="66"/>
      <c r="AT25" s="66"/>
      <c r="AU25" s="66"/>
      <c r="AV25" s="66"/>
      <c r="AW25" s="65"/>
      <c r="AX25" s="66"/>
      <c r="AY25" s="66"/>
      <c r="AZ25" s="66"/>
      <c r="BA25" s="66"/>
      <c r="BB25" s="66"/>
      <c r="BC25" s="66"/>
      <c r="BD25" s="66"/>
      <c r="BE25" s="65">
        <f t="shared" si="0"/>
        <v>0</v>
      </c>
      <c r="BF25" s="66"/>
      <c r="BG25" s="66"/>
      <c r="BH25" s="66"/>
      <c r="BI25" s="66"/>
      <c r="BJ25" s="66"/>
      <c r="BK25" s="66"/>
      <c r="BL25" s="66"/>
      <c r="IR25" s="7">
        <f>AW25*0.293421052631579</f>
        <v>0</v>
      </c>
      <c r="IS25" s="7">
        <f>AW25*(1-0.293421052631579)</f>
        <v>0</v>
      </c>
    </row>
    <row r="26" spans="1:64" ht="12.75">
      <c r="A26" s="67" t="s">
        <v>6</v>
      </c>
      <c r="B26" s="68"/>
      <c r="C26" s="67" t="s">
        <v>69</v>
      </c>
      <c r="D26" s="68"/>
      <c r="E26" s="68"/>
      <c r="F26" s="68"/>
      <c r="G26" s="68"/>
      <c r="H26" s="68"/>
      <c r="I26" s="67" t="s">
        <v>200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7" t="s">
        <v>6</v>
      </c>
      <c r="AQ26" s="68"/>
      <c r="AR26" s="69" t="s">
        <v>6</v>
      </c>
      <c r="AS26" s="70"/>
      <c r="AT26" s="70"/>
      <c r="AU26" s="70"/>
      <c r="AV26" s="70"/>
      <c r="AW26" s="69" t="s">
        <v>6</v>
      </c>
      <c r="AX26" s="70"/>
      <c r="AY26" s="70"/>
      <c r="AZ26" s="70"/>
      <c r="BA26" s="70"/>
      <c r="BB26" s="70"/>
      <c r="BC26" s="70"/>
      <c r="BD26" s="70"/>
      <c r="BE26" s="75">
        <f>SUM(BE27:BE27)</f>
        <v>0</v>
      </c>
      <c r="BF26" s="70"/>
      <c r="BG26" s="70"/>
      <c r="BH26" s="70"/>
      <c r="BI26" s="70"/>
      <c r="BJ26" s="70"/>
      <c r="BK26" s="70"/>
      <c r="BL26" s="70"/>
    </row>
    <row r="27" spans="1:253" ht="12.75">
      <c r="A27" s="73" t="s">
        <v>18</v>
      </c>
      <c r="B27" s="74"/>
      <c r="C27" s="73" t="s">
        <v>96</v>
      </c>
      <c r="D27" s="74"/>
      <c r="E27" s="74"/>
      <c r="F27" s="74"/>
      <c r="G27" s="74"/>
      <c r="H27" s="74"/>
      <c r="I27" s="73" t="s">
        <v>201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3" t="s">
        <v>291</v>
      </c>
      <c r="AQ27" s="74"/>
      <c r="AR27" s="65">
        <v>16.412</v>
      </c>
      <c r="AS27" s="66"/>
      <c r="AT27" s="66"/>
      <c r="AU27" s="66"/>
      <c r="AV27" s="66"/>
      <c r="AW27" s="65"/>
      <c r="AX27" s="66"/>
      <c r="AY27" s="66"/>
      <c r="AZ27" s="66"/>
      <c r="BA27" s="66"/>
      <c r="BB27" s="66"/>
      <c r="BC27" s="66"/>
      <c r="BD27" s="66"/>
      <c r="BE27" s="65">
        <f>IR27*AR27+IS27*AR27</f>
        <v>0</v>
      </c>
      <c r="BF27" s="66"/>
      <c r="BG27" s="66"/>
      <c r="BH27" s="66"/>
      <c r="BI27" s="66"/>
      <c r="BJ27" s="66"/>
      <c r="BK27" s="66"/>
      <c r="BL27" s="66"/>
      <c r="IR27" s="7">
        <f>AW27*0.620425123861275</f>
        <v>0</v>
      </c>
      <c r="IS27" s="7">
        <f>AW27*(1-0.620425123861275)</f>
        <v>0</v>
      </c>
    </row>
    <row r="28" spans="1:64" ht="12.75">
      <c r="A28" s="67" t="s">
        <v>6</v>
      </c>
      <c r="B28" s="68"/>
      <c r="C28" s="67" t="s">
        <v>70</v>
      </c>
      <c r="D28" s="68"/>
      <c r="E28" s="68"/>
      <c r="F28" s="68"/>
      <c r="G28" s="68"/>
      <c r="H28" s="68"/>
      <c r="I28" s="67" t="s">
        <v>202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7" t="s">
        <v>6</v>
      </c>
      <c r="AQ28" s="68"/>
      <c r="AR28" s="69" t="s">
        <v>6</v>
      </c>
      <c r="AS28" s="70"/>
      <c r="AT28" s="70"/>
      <c r="AU28" s="70"/>
      <c r="AV28" s="70"/>
      <c r="AW28" s="69" t="s">
        <v>6</v>
      </c>
      <c r="AX28" s="70"/>
      <c r="AY28" s="70"/>
      <c r="AZ28" s="70"/>
      <c r="BA28" s="70"/>
      <c r="BB28" s="70"/>
      <c r="BC28" s="70"/>
      <c r="BD28" s="70"/>
      <c r="BE28" s="75">
        <f>SUM(BE29:BE30)</f>
        <v>0</v>
      </c>
      <c r="BF28" s="70"/>
      <c r="BG28" s="70"/>
      <c r="BH28" s="70"/>
      <c r="BI28" s="70"/>
      <c r="BJ28" s="70"/>
      <c r="BK28" s="70"/>
      <c r="BL28" s="70"/>
    </row>
    <row r="29" spans="1:253" ht="12.75">
      <c r="A29" s="73" t="s">
        <v>19</v>
      </c>
      <c r="B29" s="74"/>
      <c r="C29" s="73" t="s">
        <v>97</v>
      </c>
      <c r="D29" s="74"/>
      <c r="E29" s="74"/>
      <c r="F29" s="74"/>
      <c r="G29" s="74"/>
      <c r="H29" s="74"/>
      <c r="I29" s="73" t="s">
        <v>203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3" t="s">
        <v>290</v>
      </c>
      <c r="AQ29" s="74"/>
      <c r="AR29" s="65">
        <v>3</v>
      </c>
      <c r="AS29" s="66"/>
      <c r="AT29" s="66"/>
      <c r="AU29" s="66"/>
      <c r="AV29" s="66"/>
      <c r="AW29" s="65"/>
      <c r="AX29" s="66"/>
      <c r="AY29" s="66"/>
      <c r="AZ29" s="66"/>
      <c r="BA29" s="66"/>
      <c r="BB29" s="66"/>
      <c r="BC29" s="66"/>
      <c r="BD29" s="66"/>
      <c r="BE29" s="65">
        <f>IR29*AR29+IS29*AR29</f>
        <v>0</v>
      </c>
      <c r="BF29" s="66"/>
      <c r="BG29" s="66"/>
      <c r="BH29" s="66"/>
      <c r="BI29" s="66"/>
      <c r="BJ29" s="66"/>
      <c r="BK29" s="66"/>
      <c r="BL29" s="66"/>
      <c r="IR29" s="7">
        <f>AW29*0.726509081544369</f>
        <v>0</v>
      </c>
      <c r="IS29" s="7">
        <f>AW29*(1-0.726509081544369)</f>
        <v>0</v>
      </c>
    </row>
    <row r="30" spans="1:253" ht="12.75">
      <c r="A30" s="73" t="s">
        <v>20</v>
      </c>
      <c r="B30" s="74"/>
      <c r="C30" s="73" t="s">
        <v>98</v>
      </c>
      <c r="D30" s="74"/>
      <c r="E30" s="74"/>
      <c r="F30" s="74"/>
      <c r="G30" s="74"/>
      <c r="H30" s="74"/>
      <c r="I30" s="73" t="s">
        <v>204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3" t="s">
        <v>290</v>
      </c>
      <c r="AQ30" s="74"/>
      <c r="AR30" s="65">
        <v>1</v>
      </c>
      <c r="AS30" s="66"/>
      <c r="AT30" s="66"/>
      <c r="AU30" s="66"/>
      <c r="AV30" s="66"/>
      <c r="AW30" s="65"/>
      <c r="AX30" s="66"/>
      <c r="AY30" s="66"/>
      <c r="AZ30" s="66"/>
      <c r="BA30" s="66"/>
      <c r="BB30" s="66"/>
      <c r="BC30" s="66"/>
      <c r="BD30" s="66"/>
      <c r="BE30" s="65">
        <f>IR30*AR30+IS30*AR30</f>
        <v>0</v>
      </c>
      <c r="BF30" s="66"/>
      <c r="BG30" s="66"/>
      <c r="BH30" s="66"/>
      <c r="BI30" s="66"/>
      <c r="BJ30" s="66"/>
      <c r="BK30" s="66"/>
      <c r="BL30" s="66"/>
      <c r="IR30" s="7">
        <f>AW30*0.734504126427677</f>
        <v>0</v>
      </c>
      <c r="IS30" s="7">
        <f>AW30*(1-0.734504126427677)</f>
        <v>0</v>
      </c>
    </row>
    <row r="31" spans="1:64" ht="12.75">
      <c r="A31" s="67" t="s">
        <v>6</v>
      </c>
      <c r="B31" s="68"/>
      <c r="C31" s="67" t="s">
        <v>99</v>
      </c>
      <c r="D31" s="68"/>
      <c r="E31" s="68"/>
      <c r="F31" s="68"/>
      <c r="G31" s="68"/>
      <c r="H31" s="68"/>
      <c r="I31" s="67" t="s">
        <v>205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7" t="s">
        <v>6</v>
      </c>
      <c r="AQ31" s="68"/>
      <c r="AR31" s="69" t="s">
        <v>6</v>
      </c>
      <c r="AS31" s="70"/>
      <c r="AT31" s="70"/>
      <c r="AU31" s="70"/>
      <c r="AV31" s="70"/>
      <c r="AW31" s="69" t="s">
        <v>6</v>
      </c>
      <c r="AX31" s="70"/>
      <c r="AY31" s="70"/>
      <c r="AZ31" s="70"/>
      <c r="BA31" s="70"/>
      <c r="BB31" s="70"/>
      <c r="BC31" s="70"/>
      <c r="BD31" s="70"/>
      <c r="BE31" s="75">
        <f>SUM(BE32:BE36)</f>
        <v>0</v>
      </c>
      <c r="BF31" s="70"/>
      <c r="BG31" s="70"/>
      <c r="BH31" s="70"/>
      <c r="BI31" s="70"/>
      <c r="BJ31" s="70"/>
      <c r="BK31" s="70"/>
      <c r="BL31" s="70"/>
    </row>
    <row r="32" spans="1:253" ht="12.75">
      <c r="A32" s="73" t="s">
        <v>21</v>
      </c>
      <c r="B32" s="74"/>
      <c r="C32" s="73" t="s">
        <v>100</v>
      </c>
      <c r="D32" s="74"/>
      <c r="E32" s="74"/>
      <c r="F32" s="74"/>
      <c r="G32" s="74"/>
      <c r="H32" s="74"/>
      <c r="I32" s="73" t="s">
        <v>206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3" t="s">
        <v>292</v>
      </c>
      <c r="AQ32" s="74"/>
      <c r="AR32" s="65">
        <v>18</v>
      </c>
      <c r="AS32" s="66"/>
      <c r="AT32" s="66"/>
      <c r="AU32" s="66"/>
      <c r="AV32" s="66"/>
      <c r="AW32" s="65"/>
      <c r="AX32" s="66"/>
      <c r="AY32" s="66"/>
      <c r="AZ32" s="66"/>
      <c r="BA32" s="66"/>
      <c r="BB32" s="66"/>
      <c r="BC32" s="66"/>
      <c r="BD32" s="66"/>
      <c r="BE32" s="65">
        <f>IR32*AR32+IS32*AR32</f>
        <v>0</v>
      </c>
      <c r="BF32" s="66"/>
      <c r="BG32" s="66"/>
      <c r="BH32" s="66"/>
      <c r="BI32" s="66"/>
      <c r="BJ32" s="66"/>
      <c r="BK32" s="66"/>
      <c r="BL32" s="66"/>
      <c r="IR32" s="7">
        <f>AW32*0</f>
        <v>0</v>
      </c>
      <c r="IS32" s="7">
        <f>AW32*(1-0)</f>
        <v>0</v>
      </c>
    </row>
    <row r="33" spans="1:253" ht="12.75">
      <c r="A33" s="73" t="s">
        <v>22</v>
      </c>
      <c r="B33" s="74"/>
      <c r="C33" s="73" t="s">
        <v>101</v>
      </c>
      <c r="D33" s="74"/>
      <c r="E33" s="74"/>
      <c r="F33" s="74"/>
      <c r="G33" s="74"/>
      <c r="H33" s="74"/>
      <c r="I33" s="73" t="s">
        <v>207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3" t="s">
        <v>292</v>
      </c>
      <c r="AQ33" s="74"/>
      <c r="AR33" s="65">
        <v>24</v>
      </c>
      <c r="AS33" s="66"/>
      <c r="AT33" s="66"/>
      <c r="AU33" s="66"/>
      <c r="AV33" s="66"/>
      <c r="AW33" s="65"/>
      <c r="AX33" s="66"/>
      <c r="AY33" s="66"/>
      <c r="AZ33" s="66"/>
      <c r="BA33" s="66"/>
      <c r="BB33" s="66"/>
      <c r="BC33" s="66"/>
      <c r="BD33" s="66"/>
      <c r="BE33" s="65">
        <f>IR33*AR33+IS33*AR33</f>
        <v>0</v>
      </c>
      <c r="BF33" s="66"/>
      <c r="BG33" s="66"/>
      <c r="BH33" s="66"/>
      <c r="BI33" s="66"/>
      <c r="BJ33" s="66"/>
      <c r="BK33" s="66"/>
      <c r="BL33" s="66"/>
      <c r="IR33" s="7">
        <f>AW33*0.472152466367713</f>
        <v>0</v>
      </c>
      <c r="IS33" s="7">
        <f>AW33*(1-0.472152466367713)</f>
        <v>0</v>
      </c>
    </row>
    <row r="34" spans="1:253" ht="12.75">
      <c r="A34" s="73" t="s">
        <v>23</v>
      </c>
      <c r="B34" s="74"/>
      <c r="C34" s="73" t="s">
        <v>102</v>
      </c>
      <c r="D34" s="74"/>
      <c r="E34" s="74"/>
      <c r="F34" s="74"/>
      <c r="G34" s="74"/>
      <c r="H34" s="74"/>
      <c r="I34" s="73" t="s">
        <v>208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3" t="s">
        <v>290</v>
      </c>
      <c r="AQ34" s="74"/>
      <c r="AR34" s="65">
        <v>3</v>
      </c>
      <c r="AS34" s="66"/>
      <c r="AT34" s="66"/>
      <c r="AU34" s="66"/>
      <c r="AV34" s="66"/>
      <c r="AW34" s="65"/>
      <c r="AX34" s="66"/>
      <c r="AY34" s="66"/>
      <c r="AZ34" s="66"/>
      <c r="BA34" s="66"/>
      <c r="BB34" s="66"/>
      <c r="BC34" s="66"/>
      <c r="BD34" s="66"/>
      <c r="BE34" s="65">
        <f>IR34*AR34+IS34*AR34</f>
        <v>0</v>
      </c>
      <c r="BF34" s="66"/>
      <c r="BG34" s="66"/>
      <c r="BH34" s="66"/>
      <c r="BI34" s="66"/>
      <c r="BJ34" s="66"/>
      <c r="BK34" s="66"/>
      <c r="BL34" s="66"/>
      <c r="IR34" s="7">
        <f>AW34*0.804662095984329</f>
        <v>0</v>
      </c>
      <c r="IS34" s="7">
        <f>AW34*(1-0.804662095984329)</f>
        <v>0</v>
      </c>
    </row>
    <row r="35" spans="1:253" ht="12.75">
      <c r="A35" s="73" t="s">
        <v>24</v>
      </c>
      <c r="B35" s="74"/>
      <c r="C35" s="73" t="s">
        <v>103</v>
      </c>
      <c r="D35" s="74"/>
      <c r="E35" s="74"/>
      <c r="F35" s="74"/>
      <c r="G35" s="74"/>
      <c r="H35" s="74"/>
      <c r="I35" s="73" t="s">
        <v>209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3" t="s">
        <v>293</v>
      </c>
      <c r="AQ35" s="74"/>
      <c r="AR35" s="65">
        <v>1</v>
      </c>
      <c r="AS35" s="66"/>
      <c r="AT35" s="66"/>
      <c r="AU35" s="66"/>
      <c r="AV35" s="66"/>
      <c r="AW35" s="65"/>
      <c r="AX35" s="66"/>
      <c r="AY35" s="66"/>
      <c r="AZ35" s="66"/>
      <c r="BA35" s="66"/>
      <c r="BB35" s="66"/>
      <c r="BC35" s="66"/>
      <c r="BD35" s="66"/>
      <c r="BE35" s="65">
        <f>IR35*AR35+IS35*AR35</f>
        <v>0</v>
      </c>
      <c r="BF35" s="66"/>
      <c r="BG35" s="66"/>
      <c r="BH35" s="66"/>
      <c r="BI35" s="66"/>
      <c r="BJ35" s="66"/>
      <c r="BK35" s="66"/>
      <c r="BL35" s="66"/>
      <c r="IR35" s="7">
        <f>AW35*0.0264693333333333</f>
        <v>0</v>
      </c>
      <c r="IS35" s="7">
        <f>AW35*(1-0.0264693333333333)</f>
        <v>0</v>
      </c>
    </row>
    <row r="36" spans="1:253" ht="12.75">
      <c r="A36" s="73" t="s">
        <v>25</v>
      </c>
      <c r="B36" s="74"/>
      <c r="C36" s="73" t="s">
        <v>104</v>
      </c>
      <c r="D36" s="74"/>
      <c r="E36" s="74"/>
      <c r="F36" s="74"/>
      <c r="G36" s="74"/>
      <c r="H36" s="74"/>
      <c r="I36" s="73" t="s">
        <v>210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3" t="s">
        <v>290</v>
      </c>
      <c r="AQ36" s="74"/>
      <c r="AR36" s="65">
        <v>4</v>
      </c>
      <c r="AS36" s="66"/>
      <c r="AT36" s="66"/>
      <c r="AU36" s="66"/>
      <c r="AV36" s="66"/>
      <c r="AW36" s="65"/>
      <c r="AX36" s="66"/>
      <c r="AY36" s="66"/>
      <c r="AZ36" s="66"/>
      <c r="BA36" s="66"/>
      <c r="BB36" s="66"/>
      <c r="BC36" s="66"/>
      <c r="BD36" s="66"/>
      <c r="BE36" s="65">
        <f>IR36*AR36+IS36*AR36</f>
        <v>0</v>
      </c>
      <c r="BF36" s="66"/>
      <c r="BG36" s="66"/>
      <c r="BH36" s="66"/>
      <c r="BI36" s="66"/>
      <c r="BJ36" s="66"/>
      <c r="BK36" s="66"/>
      <c r="BL36" s="66"/>
      <c r="IR36" s="7">
        <f>AW36*0.893816513761468</f>
        <v>0</v>
      </c>
      <c r="IS36" s="7">
        <f>AW36*(1-0.893816513761468)</f>
        <v>0</v>
      </c>
    </row>
    <row r="37" spans="1:64" ht="12.75">
      <c r="A37" s="67" t="s">
        <v>6</v>
      </c>
      <c r="B37" s="68"/>
      <c r="C37" s="67" t="s">
        <v>105</v>
      </c>
      <c r="D37" s="68"/>
      <c r="E37" s="68"/>
      <c r="F37" s="68"/>
      <c r="G37" s="68"/>
      <c r="H37" s="68"/>
      <c r="I37" s="67" t="s">
        <v>211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7" t="s">
        <v>6</v>
      </c>
      <c r="AQ37" s="68"/>
      <c r="AR37" s="69" t="s">
        <v>6</v>
      </c>
      <c r="AS37" s="70"/>
      <c r="AT37" s="70"/>
      <c r="AU37" s="70"/>
      <c r="AV37" s="70"/>
      <c r="AW37" s="69" t="s">
        <v>6</v>
      </c>
      <c r="AX37" s="70"/>
      <c r="AY37" s="70"/>
      <c r="AZ37" s="70"/>
      <c r="BA37" s="70"/>
      <c r="BB37" s="70"/>
      <c r="BC37" s="70"/>
      <c r="BD37" s="70"/>
      <c r="BE37" s="75">
        <f>SUM(BE38:BE38)</f>
        <v>0</v>
      </c>
      <c r="BF37" s="70"/>
      <c r="BG37" s="70"/>
      <c r="BH37" s="70"/>
      <c r="BI37" s="70"/>
      <c r="BJ37" s="70"/>
      <c r="BK37" s="70"/>
      <c r="BL37" s="70"/>
    </row>
    <row r="38" spans="1:253" ht="12.75">
      <c r="A38" s="73" t="s">
        <v>26</v>
      </c>
      <c r="B38" s="74"/>
      <c r="C38" s="73" t="s">
        <v>106</v>
      </c>
      <c r="D38" s="74"/>
      <c r="E38" s="74"/>
      <c r="F38" s="74"/>
      <c r="G38" s="74"/>
      <c r="H38" s="74"/>
      <c r="I38" s="73" t="s">
        <v>212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 t="s">
        <v>293</v>
      </c>
      <c r="AQ38" s="74"/>
      <c r="AR38" s="65">
        <v>1</v>
      </c>
      <c r="AS38" s="66"/>
      <c r="AT38" s="66"/>
      <c r="AU38" s="66"/>
      <c r="AV38" s="66"/>
      <c r="AW38" s="65"/>
      <c r="AX38" s="66"/>
      <c r="AY38" s="66"/>
      <c r="AZ38" s="66"/>
      <c r="BA38" s="66"/>
      <c r="BB38" s="66"/>
      <c r="BC38" s="66"/>
      <c r="BD38" s="66"/>
      <c r="BE38" s="65">
        <f>IR38*AR38+IS38*AR38</f>
        <v>0</v>
      </c>
      <c r="BF38" s="66"/>
      <c r="BG38" s="66"/>
      <c r="BH38" s="66"/>
      <c r="BI38" s="66"/>
      <c r="BJ38" s="66"/>
      <c r="BK38" s="66"/>
      <c r="BL38" s="66"/>
      <c r="IR38" s="7">
        <f>AW38*0.956554666666667</f>
        <v>0</v>
      </c>
      <c r="IS38" s="7">
        <f>AW38*(1-0.956554666666667)</f>
        <v>0</v>
      </c>
    </row>
    <row r="39" spans="1:64" ht="12.75">
      <c r="A39" s="67" t="s">
        <v>6</v>
      </c>
      <c r="B39" s="68"/>
      <c r="C39" s="67" t="s">
        <v>107</v>
      </c>
      <c r="D39" s="68"/>
      <c r="E39" s="68"/>
      <c r="F39" s="68"/>
      <c r="G39" s="68"/>
      <c r="H39" s="68"/>
      <c r="I39" s="67" t="s">
        <v>213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7" t="s">
        <v>6</v>
      </c>
      <c r="AQ39" s="68"/>
      <c r="AR39" s="69" t="s">
        <v>6</v>
      </c>
      <c r="AS39" s="70"/>
      <c r="AT39" s="70"/>
      <c r="AU39" s="70"/>
      <c r="AV39" s="70"/>
      <c r="AW39" s="69" t="s">
        <v>6</v>
      </c>
      <c r="AX39" s="70"/>
      <c r="AY39" s="70"/>
      <c r="AZ39" s="70"/>
      <c r="BA39" s="70"/>
      <c r="BB39" s="70"/>
      <c r="BC39" s="70"/>
      <c r="BD39" s="70"/>
      <c r="BE39" s="75">
        <f>SUM(BE40:BE46)</f>
        <v>0</v>
      </c>
      <c r="BF39" s="70"/>
      <c r="BG39" s="70"/>
      <c r="BH39" s="70"/>
      <c r="BI39" s="70"/>
      <c r="BJ39" s="70"/>
      <c r="BK39" s="70"/>
      <c r="BL39" s="70"/>
    </row>
    <row r="40" spans="1:253" ht="12.75">
      <c r="A40" s="73" t="s">
        <v>27</v>
      </c>
      <c r="B40" s="74"/>
      <c r="C40" s="73" t="s">
        <v>108</v>
      </c>
      <c r="D40" s="74"/>
      <c r="E40" s="74"/>
      <c r="F40" s="74"/>
      <c r="G40" s="74"/>
      <c r="H40" s="74"/>
      <c r="I40" s="73" t="s">
        <v>214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3" t="s">
        <v>294</v>
      </c>
      <c r="AQ40" s="74"/>
      <c r="AR40" s="65">
        <v>4</v>
      </c>
      <c r="AS40" s="66"/>
      <c r="AT40" s="66"/>
      <c r="AU40" s="66"/>
      <c r="AV40" s="66"/>
      <c r="AW40" s="65"/>
      <c r="AX40" s="66"/>
      <c r="AY40" s="66"/>
      <c r="AZ40" s="66"/>
      <c r="BA40" s="66"/>
      <c r="BB40" s="66"/>
      <c r="BC40" s="66"/>
      <c r="BD40" s="66"/>
      <c r="BE40" s="65">
        <f aca="true" t="shared" si="1" ref="BE40:BE46">IR40*AR40+IS40*AR40</f>
        <v>0</v>
      </c>
      <c r="BF40" s="66"/>
      <c r="BG40" s="66"/>
      <c r="BH40" s="66"/>
      <c r="BI40" s="66"/>
      <c r="BJ40" s="66"/>
      <c r="BK40" s="66"/>
      <c r="BL40" s="66"/>
      <c r="IR40" s="7">
        <f>AW40*0</f>
        <v>0</v>
      </c>
      <c r="IS40" s="7">
        <f>AW40*(1-0)</f>
        <v>0</v>
      </c>
    </row>
    <row r="41" spans="1:253" ht="12.75">
      <c r="A41" s="73" t="s">
        <v>28</v>
      </c>
      <c r="B41" s="74"/>
      <c r="C41" s="73" t="s">
        <v>109</v>
      </c>
      <c r="D41" s="74"/>
      <c r="E41" s="74"/>
      <c r="F41" s="74"/>
      <c r="G41" s="74"/>
      <c r="H41" s="74"/>
      <c r="I41" s="73" t="s">
        <v>215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3" t="s">
        <v>294</v>
      </c>
      <c r="AQ41" s="74"/>
      <c r="AR41" s="65">
        <v>1</v>
      </c>
      <c r="AS41" s="66"/>
      <c r="AT41" s="66"/>
      <c r="AU41" s="66"/>
      <c r="AV41" s="66"/>
      <c r="AW41" s="65"/>
      <c r="AX41" s="66"/>
      <c r="AY41" s="66"/>
      <c r="AZ41" s="66"/>
      <c r="BA41" s="66"/>
      <c r="BB41" s="66"/>
      <c r="BC41" s="66"/>
      <c r="BD41" s="66"/>
      <c r="BE41" s="65">
        <f t="shared" si="1"/>
        <v>0</v>
      </c>
      <c r="BF41" s="66"/>
      <c r="BG41" s="66"/>
      <c r="BH41" s="66"/>
      <c r="BI41" s="66"/>
      <c r="BJ41" s="66"/>
      <c r="BK41" s="66"/>
      <c r="BL41" s="66"/>
      <c r="IR41" s="7">
        <f>AW41*0</f>
        <v>0</v>
      </c>
      <c r="IS41" s="7">
        <f>AW41*(1-0)</f>
        <v>0</v>
      </c>
    </row>
    <row r="42" spans="1:253" ht="12.75">
      <c r="A42" s="73" t="s">
        <v>29</v>
      </c>
      <c r="B42" s="74"/>
      <c r="C42" s="73" t="s">
        <v>110</v>
      </c>
      <c r="D42" s="74"/>
      <c r="E42" s="74"/>
      <c r="F42" s="74"/>
      <c r="G42" s="74"/>
      <c r="H42" s="74"/>
      <c r="I42" s="73" t="s">
        <v>216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3" t="s">
        <v>294</v>
      </c>
      <c r="AQ42" s="74"/>
      <c r="AR42" s="65">
        <v>1</v>
      </c>
      <c r="AS42" s="66"/>
      <c r="AT42" s="66"/>
      <c r="AU42" s="66"/>
      <c r="AV42" s="66"/>
      <c r="AW42" s="65"/>
      <c r="AX42" s="66"/>
      <c r="AY42" s="66"/>
      <c r="AZ42" s="66"/>
      <c r="BA42" s="66"/>
      <c r="BB42" s="66"/>
      <c r="BC42" s="66"/>
      <c r="BD42" s="66"/>
      <c r="BE42" s="65">
        <f t="shared" si="1"/>
        <v>0</v>
      </c>
      <c r="BF42" s="66"/>
      <c r="BG42" s="66"/>
      <c r="BH42" s="66"/>
      <c r="BI42" s="66"/>
      <c r="BJ42" s="66"/>
      <c r="BK42" s="66"/>
      <c r="BL42" s="66"/>
      <c r="IR42" s="7">
        <f>AW42*0.741403162055336</f>
        <v>0</v>
      </c>
      <c r="IS42" s="7">
        <f>AW42*(1-0.741403162055336)</f>
        <v>0</v>
      </c>
    </row>
    <row r="43" spans="1:253" ht="12.75">
      <c r="A43" s="73" t="s">
        <v>30</v>
      </c>
      <c r="B43" s="74"/>
      <c r="C43" s="73" t="s">
        <v>111</v>
      </c>
      <c r="D43" s="74"/>
      <c r="E43" s="74"/>
      <c r="F43" s="74"/>
      <c r="G43" s="74"/>
      <c r="H43" s="74"/>
      <c r="I43" s="73" t="s">
        <v>217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3" t="s">
        <v>290</v>
      </c>
      <c r="AQ43" s="74"/>
      <c r="AR43" s="65">
        <v>1</v>
      </c>
      <c r="AS43" s="66"/>
      <c r="AT43" s="66"/>
      <c r="AU43" s="66"/>
      <c r="AV43" s="66"/>
      <c r="AW43" s="65"/>
      <c r="AX43" s="66"/>
      <c r="AY43" s="66"/>
      <c r="AZ43" s="66"/>
      <c r="BA43" s="66"/>
      <c r="BB43" s="66"/>
      <c r="BC43" s="66"/>
      <c r="BD43" s="66"/>
      <c r="BE43" s="65">
        <f t="shared" si="1"/>
        <v>0</v>
      </c>
      <c r="BF43" s="66"/>
      <c r="BG43" s="66"/>
      <c r="BH43" s="66"/>
      <c r="BI43" s="66"/>
      <c r="BJ43" s="66"/>
      <c r="BK43" s="66"/>
      <c r="BL43" s="66"/>
      <c r="IR43" s="7">
        <f>AW43*0.80459595959596</f>
        <v>0</v>
      </c>
      <c r="IS43" s="7">
        <f>AW43*(1-0.80459595959596)</f>
        <v>0</v>
      </c>
    </row>
    <row r="44" spans="1:253" ht="12.75">
      <c r="A44" s="73" t="s">
        <v>31</v>
      </c>
      <c r="B44" s="74"/>
      <c r="C44" s="73" t="s">
        <v>112</v>
      </c>
      <c r="D44" s="74"/>
      <c r="E44" s="74"/>
      <c r="F44" s="74"/>
      <c r="G44" s="74"/>
      <c r="H44" s="74"/>
      <c r="I44" s="73" t="s">
        <v>218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3" t="s">
        <v>294</v>
      </c>
      <c r="AQ44" s="74"/>
      <c r="AR44" s="65">
        <v>4</v>
      </c>
      <c r="AS44" s="66"/>
      <c r="AT44" s="66"/>
      <c r="AU44" s="66"/>
      <c r="AV44" s="66"/>
      <c r="AW44" s="65"/>
      <c r="AX44" s="66"/>
      <c r="AY44" s="66"/>
      <c r="AZ44" s="66"/>
      <c r="BA44" s="66"/>
      <c r="BB44" s="66"/>
      <c r="BC44" s="66"/>
      <c r="BD44" s="66"/>
      <c r="BE44" s="65">
        <f t="shared" si="1"/>
        <v>0</v>
      </c>
      <c r="BF44" s="66"/>
      <c r="BG44" s="66"/>
      <c r="BH44" s="66"/>
      <c r="BI44" s="66"/>
      <c r="BJ44" s="66"/>
      <c r="BK44" s="66"/>
      <c r="BL44" s="66"/>
      <c r="IR44" s="7">
        <f>AW44*0.855227356746765</f>
        <v>0</v>
      </c>
      <c r="IS44" s="7">
        <f>AW44*(1-0.855227356746765)</f>
        <v>0</v>
      </c>
    </row>
    <row r="45" spans="1:253" ht="12.75">
      <c r="A45" s="73" t="s">
        <v>32</v>
      </c>
      <c r="B45" s="74"/>
      <c r="C45" s="73" t="s">
        <v>113</v>
      </c>
      <c r="D45" s="74"/>
      <c r="E45" s="74"/>
      <c r="F45" s="74"/>
      <c r="G45" s="74"/>
      <c r="H45" s="74"/>
      <c r="I45" s="73" t="s">
        <v>219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3" t="s">
        <v>294</v>
      </c>
      <c r="AQ45" s="74"/>
      <c r="AR45" s="65">
        <v>6</v>
      </c>
      <c r="AS45" s="66"/>
      <c r="AT45" s="66"/>
      <c r="AU45" s="66"/>
      <c r="AV45" s="66"/>
      <c r="AW45" s="65"/>
      <c r="AX45" s="66"/>
      <c r="AY45" s="66"/>
      <c r="AZ45" s="66"/>
      <c r="BA45" s="66"/>
      <c r="BB45" s="66"/>
      <c r="BC45" s="66"/>
      <c r="BD45" s="66"/>
      <c r="BE45" s="65">
        <f t="shared" si="1"/>
        <v>0</v>
      </c>
      <c r="BF45" s="66"/>
      <c r="BG45" s="66"/>
      <c r="BH45" s="66"/>
      <c r="BI45" s="66"/>
      <c r="BJ45" s="66"/>
      <c r="BK45" s="66"/>
      <c r="BL45" s="66"/>
      <c r="IR45" s="7">
        <f>AW45*0.948982558139535</f>
        <v>0</v>
      </c>
      <c r="IS45" s="7">
        <f>AW45*(1-0.948982558139535)</f>
        <v>0</v>
      </c>
    </row>
    <row r="46" spans="1:253" ht="12.75">
      <c r="A46" s="73" t="s">
        <v>33</v>
      </c>
      <c r="B46" s="74"/>
      <c r="C46" s="73" t="s">
        <v>114</v>
      </c>
      <c r="D46" s="74"/>
      <c r="E46" s="74"/>
      <c r="F46" s="74"/>
      <c r="G46" s="74"/>
      <c r="H46" s="74"/>
      <c r="I46" s="73" t="s">
        <v>220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3" t="s">
        <v>294</v>
      </c>
      <c r="AQ46" s="74"/>
      <c r="AR46" s="65">
        <v>2</v>
      </c>
      <c r="AS46" s="66"/>
      <c r="AT46" s="66"/>
      <c r="AU46" s="66"/>
      <c r="AV46" s="66"/>
      <c r="AW46" s="65"/>
      <c r="AX46" s="66"/>
      <c r="AY46" s="66"/>
      <c r="AZ46" s="66"/>
      <c r="BA46" s="66"/>
      <c r="BB46" s="66"/>
      <c r="BC46" s="66"/>
      <c r="BD46" s="66"/>
      <c r="BE46" s="65">
        <f t="shared" si="1"/>
        <v>0</v>
      </c>
      <c r="BF46" s="66"/>
      <c r="BG46" s="66"/>
      <c r="BH46" s="66"/>
      <c r="BI46" s="66"/>
      <c r="BJ46" s="66"/>
      <c r="BK46" s="66"/>
      <c r="BL46" s="66"/>
      <c r="IR46" s="7">
        <f>AW46*0.886543272259964</f>
        <v>0</v>
      </c>
      <c r="IS46" s="7">
        <f>AW46*(1-0.886543272259964)</f>
        <v>0</v>
      </c>
    </row>
    <row r="47" spans="1:64" ht="12.75">
      <c r="A47" s="67" t="s">
        <v>6</v>
      </c>
      <c r="B47" s="68"/>
      <c r="C47" s="67" t="s">
        <v>115</v>
      </c>
      <c r="D47" s="68"/>
      <c r="E47" s="68"/>
      <c r="F47" s="68"/>
      <c r="G47" s="68"/>
      <c r="H47" s="68"/>
      <c r="I47" s="67" t="s">
        <v>221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7" t="s">
        <v>6</v>
      </c>
      <c r="AQ47" s="68"/>
      <c r="AR47" s="69" t="s">
        <v>6</v>
      </c>
      <c r="AS47" s="70"/>
      <c r="AT47" s="70"/>
      <c r="AU47" s="70"/>
      <c r="AV47" s="70"/>
      <c r="AW47" s="69" t="s">
        <v>6</v>
      </c>
      <c r="AX47" s="70"/>
      <c r="AY47" s="70"/>
      <c r="AZ47" s="70"/>
      <c r="BA47" s="70"/>
      <c r="BB47" s="70"/>
      <c r="BC47" s="70"/>
      <c r="BD47" s="70"/>
      <c r="BE47" s="75">
        <f>SUM(BE48:BE48)</f>
        <v>0</v>
      </c>
      <c r="BF47" s="70"/>
      <c r="BG47" s="70"/>
      <c r="BH47" s="70"/>
      <c r="BI47" s="70"/>
      <c r="BJ47" s="70"/>
      <c r="BK47" s="70"/>
      <c r="BL47" s="70"/>
    </row>
    <row r="48" spans="1:253" ht="12.75">
      <c r="A48" s="73" t="s">
        <v>34</v>
      </c>
      <c r="B48" s="74"/>
      <c r="C48" s="73" t="s">
        <v>116</v>
      </c>
      <c r="D48" s="74"/>
      <c r="E48" s="74"/>
      <c r="F48" s="74"/>
      <c r="G48" s="74"/>
      <c r="H48" s="74"/>
      <c r="I48" s="73" t="s">
        <v>222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3" t="s">
        <v>293</v>
      </c>
      <c r="AQ48" s="74"/>
      <c r="AR48" s="65">
        <v>1</v>
      </c>
      <c r="AS48" s="66"/>
      <c r="AT48" s="66"/>
      <c r="AU48" s="66"/>
      <c r="AV48" s="66"/>
      <c r="AW48" s="65"/>
      <c r="AX48" s="66"/>
      <c r="AY48" s="66"/>
      <c r="AZ48" s="66"/>
      <c r="BA48" s="66"/>
      <c r="BB48" s="66"/>
      <c r="BC48" s="66"/>
      <c r="BD48" s="66"/>
      <c r="BE48" s="65">
        <f>IR48*AR48+IS48*AR48</f>
        <v>0</v>
      </c>
      <c r="BF48" s="66"/>
      <c r="BG48" s="66"/>
      <c r="BH48" s="66"/>
      <c r="BI48" s="66"/>
      <c r="BJ48" s="66"/>
      <c r="BK48" s="66"/>
      <c r="BL48" s="66"/>
      <c r="IR48" s="7">
        <f>AW48*0.13132</f>
        <v>0</v>
      </c>
      <c r="IS48" s="7">
        <f>AW48*(1-0.13132)</f>
        <v>0</v>
      </c>
    </row>
    <row r="49" spans="1:64" ht="12.75">
      <c r="A49" s="67" t="s">
        <v>6</v>
      </c>
      <c r="B49" s="68"/>
      <c r="C49" s="67" t="s">
        <v>117</v>
      </c>
      <c r="D49" s="68"/>
      <c r="E49" s="68"/>
      <c r="F49" s="68"/>
      <c r="G49" s="68"/>
      <c r="H49" s="68"/>
      <c r="I49" s="67" t="s">
        <v>223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7" t="s">
        <v>6</v>
      </c>
      <c r="AQ49" s="68"/>
      <c r="AR49" s="69" t="s">
        <v>6</v>
      </c>
      <c r="AS49" s="70"/>
      <c r="AT49" s="70"/>
      <c r="AU49" s="70"/>
      <c r="AV49" s="70"/>
      <c r="AW49" s="69" t="s">
        <v>6</v>
      </c>
      <c r="AX49" s="70"/>
      <c r="AY49" s="70"/>
      <c r="AZ49" s="70"/>
      <c r="BA49" s="70"/>
      <c r="BB49" s="70"/>
      <c r="BC49" s="70"/>
      <c r="BD49" s="70"/>
      <c r="BE49" s="75">
        <f>SUM(BE50:BE53)</f>
        <v>0</v>
      </c>
      <c r="BF49" s="70"/>
      <c r="BG49" s="70"/>
      <c r="BH49" s="70"/>
      <c r="BI49" s="70"/>
      <c r="BJ49" s="70"/>
      <c r="BK49" s="70"/>
      <c r="BL49" s="70"/>
    </row>
    <row r="50" spans="1:253" ht="12.75">
      <c r="A50" s="73" t="s">
        <v>35</v>
      </c>
      <c r="B50" s="74"/>
      <c r="C50" s="73" t="s">
        <v>118</v>
      </c>
      <c r="D50" s="74"/>
      <c r="E50" s="74"/>
      <c r="F50" s="74"/>
      <c r="G50" s="74"/>
      <c r="H50" s="74"/>
      <c r="I50" s="73" t="s">
        <v>224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3" t="s">
        <v>290</v>
      </c>
      <c r="AQ50" s="74"/>
      <c r="AR50" s="65">
        <v>1</v>
      </c>
      <c r="AS50" s="66"/>
      <c r="AT50" s="66"/>
      <c r="AU50" s="66"/>
      <c r="AV50" s="66"/>
      <c r="AW50" s="65"/>
      <c r="AX50" s="66"/>
      <c r="AY50" s="66"/>
      <c r="AZ50" s="66"/>
      <c r="BA50" s="66"/>
      <c r="BB50" s="66"/>
      <c r="BC50" s="66"/>
      <c r="BD50" s="66"/>
      <c r="BE50" s="65">
        <f>IR50*AR50+IS50*AR50</f>
        <v>0</v>
      </c>
      <c r="BF50" s="66"/>
      <c r="BG50" s="66"/>
      <c r="BH50" s="66"/>
      <c r="BI50" s="66"/>
      <c r="BJ50" s="66"/>
      <c r="BK50" s="66"/>
      <c r="BL50" s="66"/>
      <c r="IR50" s="7">
        <f>AW50*0.102542857142857</f>
        <v>0</v>
      </c>
      <c r="IS50" s="7">
        <f>AW50*(1-0.102542857142857)</f>
        <v>0</v>
      </c>
    </row>
    <row r="51" spans="1:253" ht="12.75">
      <c r="A51" s="73" t="s">
        <v>36</v>
      </c>
      <c r="B51" s="74"/>
      <c r="C51" s="73" t="s">
        <v>119</v>
      </c>
      <c r="D51" s="74"/>
      <c r="E51" s="74"/>
      <c r="F51" s="74"/>
      <c r="G51" s="74"/>
      <c r="H51" s="74"/>
      <c r="I51" s="73" t="s">
        <v>225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3" t="s">
        <v>290</v>
      </c>
      <c r="AQ51" s="74"/>
      <c r="AR51" s="65">
        <v>1</v>
      </c>
      <c r="AS51" s="66"/>
      <c r="AT51" s="66"/>
      <c r="AU51" s="66"/>
      <c r="AV51" s="66"/>
      <c r="AW51" s="65"/>
      <c r="AX51" s="66"/>
      <c r="AY51" s="66"/>
      <c r="AZ51" s="66"/>
      <c r="BA51" s="66"/>
      <c r="BB51" s="66"/>
      <c r="BC51" s="66"/>
      <c r="BD51" s="66"/>
      <c r="BE51" s="65">
        <f>IR51*AR51+IS51*AR51</f>
        <v>0</v>
      </c>
      <c r="BF51" s="66"/>
      <c r="BG51" s="66"/>
      <c r="BH51" s="66"/>
      <c r="BI51" s="66"/>
      <c r="BJ51" s="66"/>
      <c r="BK51" s="66"/>
      <c r="BL51" s="66"/>
      <c r="IR51" s="7">
        <f>AW51*0.926269430051814</f>
        <v>0</v>
      </c>
      <c r="IS51" s="7">
        <f>AW51*(1-0.926269430051814)</f>
        <v>0</v>
      </c>
    </row>
    <row r="52" spans="1:253" ht="12.75">
      <c r="A52" s="73" t="s">
        <v>37</v>
      </c>
      <c r="B52" s="74"/>
      <c r="C52" s="73" t="s">
        <v>120</v>
      </c>
      <c r="D52" s="74"/>
      <c r="E52" s="74"/>
      <c r="F52" s="74"/>
      <c r="G52" s="74"/>
      <c r="H52" s="74"/>
      <c r="I52" s="73" t="s">
        <v>226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3" t="s">
        <v>294</v>
      </c>
      <c r="AQ52" s="74"/>
      <c r="AR52" s="65">
        <v>1</v>
      </c>
      <c r="AS52" s="66"/>
      <c r="AT52" s="66"/>
      <c r="AU52" s="66"/>
      <c r="AV52" s="66"/>
      <c r="AW52" s="65"/>
      <c r="AX52" s="66"/>
      <c r="AY52" s="66"/>
      <c r="AZ52" s="66"/>
      <c r="BA52" s="66"/>
      <c r="BB52" s="66"/>
      <c r="BC52" s="66"/>
      <c r="BD52" s="66"/>
      <c r="BE52" s="65">
        <f>IR52*AR52+IS52*AR52</f>
        <v>0</v>
      </c>
      <c r="BF52" s="66"/>
      <c r="BG52" s="66"/>
      <c r="BH52" s="66"/>
      <c r="BI52" s="66"/>
      <c r="BJ52" s="66"/>
      <c r="BK52" s="66"/>
      <c r="BL52" s="66"/>
      <c r="IR52" s="7">
        <f>AW52*0.416760330578512</f>
        <v>0</v>
      </c>
      <c r="IS52" s="7">
        <f>AW52*(1-0.416760330578512)</f>
        <v>0</v>
      </c>
    </row>
    <row r="53" spans="1:253" ht="12.75">
      <c r="A53" s="73" t="s">
        <v>38</v>
      </c>
      <c r="B53" s="74"/>
      <c r="C53" s="73" t="s">
        <v>121</v>
      </c>
      <c r="D53" s="74"/>
      <c r="E53" s="74"/>
      <c r="F53" s="74"/>
      <c r="G53" s="74"/>
      <c r="H53" s="74"/>
      <c r="I53" s="73" t="s">
        <v>227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3" t="s">
        <v>293</v>
      </c>
      <c r="AQ53" s="74"/>
      <c r="AR53" s="65">
        <v>1</v>
      </c>
      <c r="AS53" s="66"/>
      <c r="AT53" s="66"/>
      <c r="AU53" s="66"/>
      <c r="AV53" s="66"/>
      <c r="AW53" s="65"/>
      <c r="AX53" s="66"/>
      <c r="AY53" s="66"/>
      <c r="AZ53" s="66"/>
      <c r="BA53" s="66"/>
      <c r="BB53" s="66"/>
      <c r="BC53" s="66"/>
      <c r="BD53" s="66"/>
      <c r="BE53" s="65">
        <f>IR53*AR53+IS53*AR53</f>
        <v>0</v>
      </c>
      <c r="BF53" s="66"/>
      <c r="BG53" s="66"/>
      <c r="BH53" s="66"/>
      <c r="BI53" s="66"/>
      <c r="BJ53" s="66"/>
      <c r="BK53" s="66"/>
      <c r="BL53" s="66"/>
      <c r="IR53" s="7">
        <f>AW53*0</f>
        <v>0</v>
      </c>
      <c r="IS53" s="7">
        <f>AW53*(1-0)</f>
        <v>0</v>
      </c>
    </row>
    <row r="54" spans="1:64" ht="12.75">
      <c r="A54" s="67" t="s">
        <v>6</v>
      </c>
      <c r="B54" s="68"/>
      <c r="C54" s="67" t="s">
        <v>122</v>
      </c>
      <c r="D54" s="68"/>
      <c r="E54" s="68"/>
      <c r="F54" s="68"/>
      <c r="G54" s="68"/>
      <c r="H54" s="68"/>
      <c r="I54" s="67" t="s">
        <v>228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7" t="s">
        <v>6</v>
      </c>
      <c r="AQ54" s="68"/>
      <c r="AR54" s="69" t="s">
        <v>6</v>
      </c>
      <c r="AS54" s="70"/>
      <c r="AT54" s="70"/>
      <c r="AU54" s="70"/>
      <c r="AV54" s="70"/>
      <c r="AW54" s="69" t="s">
        <v>6</v>
      </c>
      <c r="AX54" s="70"/>
      <c r="AY54" s="70"/>
      <c r="AZ54" s="70"/>
      <c r="BA54" s="70"/>
      <c r="BB54" s="70"/>
      <c r="BC54" s="70"/>
      <c r="BD54" s="70"/>
      <c r="BE54" s="75">
        <f>SUM(BE55:BE57)</f>
        <v>0</v>
      </c>
      <c r="BF54" s="70"/>
      <c r="BG54" s="70"/>
      <c r="BH54" s="70"/>
      <c r="BI54" s="70"/>
      <c r="BJ54" s="70"/>
      <c r="BK54" s="70"/>
      <c r="BL54" s="70"/>
    </row>
    <row r="55" spans="1:253" ht="12.75">
      <c r="A55" s="73" t="s">
        <v>39</v>
      </c>
      <c r="B55" s="74"/>
      <c r="C55" s="73" t="s">
        <v>123</v>
      </c>
      <c r="D55" s="74"/>
      <c r="E55" s="74"/>
      <c r="F55" s="74"/>
      <c r="G55" s="74"/>
      <c r="H55" s="74"/>
      <c r="I55" s="73" t="s">
        <v>229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3" t="s">
        <v>290</v>
      </c>
      <c r="AQ55" s="74"/>
      <c r="AR55" s="65">
        <v>4</v>
      </c>
      <c r="AS55" s="66"/>
      <c r="AT55" s="66"/>
      <c r="AU55" s="66"/>
      <c r="AV55" s="66"/>
      <c r="AW55" s="65"/>
      <c r="AX55" s="66"/>
      <c r="AY55" s="66"/>
      <c r="AZ55" s="66"/>
      <c r="BA55" s="66"/>
      <c r="BB55" s="66"/>
      <c r="BC55" s="66"/>
      <c r="BD55" s="66"/>
      <c r="BE55" s="65">
        <f>IR55*AR55+IS55*AR55</f>
        <v>0</v>
      </c>
      <c r="BF55" s="66"/>
      <c r="BG55" s="66"/>
      <c r="BH55" s="66"/>
      <c r="BI55" s="66"/>
      <c r="BJ55" s="66"/>
      <c r="BK55" s="66"/>
      <c r="BL55" s="66"/>
      <c r="IR55" s="7">
        <f>AW55*0</f>
        <v>0</v>
      </c>
      <c r="IS55" s="7">
        <f>AW55*(1-0)</f>
        <v>0</v>
      </c>
    </row>
    <row r="56" spans="1:253" ht="12.75">
      <c r="A56" s="73" t="s">
        <v>40</v>
      </c>
      <c r="B56" s="74"/>
      <c r="C56" s="73" t="s">
        <v>124</v>
      </c>
      <c r="D56" s="74"/>
      <c r="E56" s="74"/>
      <c r="F56" s="74"/>
      <c r="G56" s="74"/>
      <c r="H56" s="74"/>
      <c r="I56" s="73" t="s">
        <v>230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3" t="s">
        <v>290</v>
      </c>
      <c r="AQ56" s="74"/>
      <c r="AR56" s="65">
        <v>1</v>
      </c>
      <c r="AS56" s="66"/>
      <c r="AT56" s="66"/>
      <c r="AU56" s="66"/>
      <c r="AV56" s="66"/>
      <c r="AW56" s="65"/>
      <c r="AX56" s="66"/>
      <c r="AY56" s="66"/>
      <c r="AZ56" s="66"/>
      <c r="BA56" s="66"/>
      <c r="BB56" s="66"/>
      <c r="BC56" s="66"/>
      <c r="BD56" s="66"/>
      <c r="BE56" s="65">
        <f>IR56*AR56+IS56*AR56</f>
        <v>0</v>
      </c>
      <c r="BF56" s="66"/>
      <c r="BG56" s="66"/>
      <c r="BH56" s="66"/>
      <c r="BI56" s="66"/>
      <c r="BJ56" s="66"/>
      <c r="BK56" s="66"/>
      <c r="BL56" s="66"/>
      <c r="IR56" s="7">
        <f>AW56*0</f>
        <v>0</v>
      </c>
      <c r="IS56" s="7">
        <f>AW56*(1-0)</f>
        <v>0</v>
      </c>
    </row>
    <row r="57" spans="1:253" ht="12.75">
      <c r="A57" s="73" t="s">
        <v>41</v>
      </c>
      <c r="B57" s="74"/>
      <c r="C57" s="73" t="s">
        <v>125</v>
      </c>
      <c r="D57" s="74"/>
      <c r="E57" s="74"/>
      <c r="F57" s="74"/>
      <c r="G57" s="74"/>
      <c r="H57" s="74"/>
      <c r="I57" s="73" t="s">
        <v>231</v>
      </c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3" t="s">
        <v>290</v>
      </c>
      <c r="AQ57" s="74"/>
      <c r="AR57" s="65">
        <v>5</v>
      </c>
      <c r="AS57" s="66"/>
      <c r="AT57" s="66"/>
      <c r="AU57" s="66"/>
      <c r="AV57" s="66"/>
      <c r="AW57" s="65"/>
      <c r="AX57" s="66"/>
      <c r="AY57" s="66"/>
      <c r="AZ57" s="66"/>
      <c r="BA57" s="66"/>
      <c r="BB57" s="66"/>
      <c r="BC57" s="66"/>
      <c r="BD57" s="66"/>
      <c r="BE57" s="65">
        <f>IR57*AR57+IS57*AR57</f>
        <v>0</v>
      </c>
      <c r="BF57" s="66"/>
      <c r="BG57" s="66"/>
      <c r="BH57" s="66"/>
      <c r="BI57" s="66"/>
      <c r="BJ57" s="66"/>
      <c r="BK57" s="66"/>
      <c r="BL57" s="66"/>
      <c r="IR57" s="7">
        <f>AW57*0</f>
        <v>0</v>
      </c>
      <c r="IS57" s="7">
        <f>AW57*(1-0)</f>
        <v>0</v>
      </c>
    </row>
    <row r="58" spans="1:64" ht="12.75">
      <c r="A58" s="67" t="s">
        <v>6</v>
      </c>
      <c r="B58" s="68"/>
      <c r="C58" s="67" t="s">
        <v>126</v>
      </c>
      <c r="D58" s="68"/>
      <c r="E58" s="68"/>
      <c r="F58" s="68"/>
      <c r="G58" s="68"/>
      <c r="H58" s="68"/>
      <c r="I58" s="67" t="s">
        <v>232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7" t="s">
        <v>6</v>
      </c>
      <c r="AQ58" s="68"/>
      <c r="AR58" s="69" t="s">
        <v>6</v>
      </c>
      <c r="AS58" s="70"/>
      <c r="AT58" s="70"/>
      <c r="AU58" s="70"/>
      <c r="AV58" s="70"/>
      <c r="AW58" s="69" t="s">
        <v>6</v>
      </c>
      <c r="AX58" s="70"/>
      <c r="AY58" s="70"/>
      <c r="AZ58" s="70"/>
      <c r="BA58" s="70"/>
      <c r="BB58" s="70"/>
      <c r="BC58" s="70"/>
      <c r="BD58" s="70"/>
      <c r="BE58" s="75">
        <f>SUM(BE59:BE61)</f>
        <v>0</v>
      </c>
      <c r="BF58" s="70"/>
      <c r="BG58" s="70"/>
      <c r="BH58" s="70"/>
      <c r="BI58" s="70"/>
      <c r="BJ58" s="70"/>
      <c r="BK58" s="70"/>
      <c r="BL58" s="70"/>
    </row>
    <row r="59" spans="1:253" ht="12.75">
      <c r="A59" s="73" t="s">
        <v>42</v>
      </c>
      <c r="B59" s="74"/>
      <c r="C59" s="73" t="s">
        <v>127</v>
      </c>
      <c r="D59" s="74"/>
      <c r="E59" s="74"/>
      <c r="F59" s="74"/>
      <c r="G59" s="74"/>
      <c r="H59" s="74"/>
      <c r="I59" s="73" t="s">
        <v>233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3" t="s">
        <v>291</v>
      </c>
      <c r="AQ59" s="74"/>
      <c r="AR59" s="65">
        <v>16.412</v>
      </c>
      <c r="AS59" s="66"/>
      <c r="AT59" s="66"/>
      <c r="AU59" s="66"/>
      <c r="AV59" s="66"/>
      <c r="AW59" s="65"/>
      <c r="AX59" s="66"/>
      <c r="AY59" s="66"/>
      <c r="AZ59" s="66"/>
      <c r="BA59" s="66"/>
      <c r="BB59" s="66"/>
      <c r="BC59" s="66"/>
      <c r="BD59" s="66"/>
      <c r="BE59" s="65">
        <f>IR59*AR59+IS59*AR59</f>
        <v>0</v>
      </c>
      <c r="BF59" s="66"/>
      <c r="BG59" s="66"/>
      <c r="BH59" s="66"/>
      <c r="BI59" s="66"/>
      <c r="BJ59" s="66"/>
      <c r="BK59" s="66"/>
      <c r="BL59" s="66"/>
      <c r="IR59" s="7">
        <f>AW59*0</f>
        <v>0</v>
      </c>
      <c r="IS59" s="7">
        <f>AW59*(1-0)</f>
        <v>0</v>
      </c>
    </row>
    <row r="60" spans="1:253" ht="12.75">
      <c r="A60" s="73" t="s">
        <v>43</v>
      </c>
      <c r="B60" s="74"/>
      <c r="C60" s="73" t="s">
        <v>128</v>
      </c>
      <c r="D60" s="74"/>
      <c r="E60" s="74"/>
      <c r="F60" s="74"/>
      <c r="G60" s="74"/>
      <c r="H60" s="74"/>
      <c r="I60" s="73" t="s">
        <v>234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3" t="s">
        <v>291</v>
      </c>
      <c r="AQ60" s="74"/>
      <c r="AR60" s="65">
        <v>32.824</v>
      </c>
      <c r="AS60" s="66"/>
      <c r="AT60" s="66"/>
      <c r="AU60" s="66"/>
      <c r="AV60" s="66"/>
      <c r="AW60" s="65"/>
      <c r="AX60" s="66"/>
      <c r="AY60" s="66"/>
      <c r="AZ60" s="66"/>
      <c r="BA60" s="66"/>
      <c r="BB60" s="66"/>
      <c r="BC60" s="66"/>
      <c r="BD60" s="66"/>
      <c r="BE60" s="65">
        <f>IR60*AR60+IS60*AR60</f>
        <v>0</v>
      </c>
      <c r="BF60" s="66"/>
      <c r="BG60" s="66"/>
      <c r="BH60" s="66"/>
      <c r="BI60" s="66"/>
      <c r="BJ60" s="66"/>
      <c r="BK60" s="66"/>
      <c r="BL60" s="66"/>
      <c r="IR60" s="7">
        <f>AW60*0.466666666666667</f>
        <v>0</v>
      </c>
      <c r="IS60" s="7">
        <f>AW60*(1-0.466666666666667)</f>
        <v>0</v>
      </c>
    </row>
    <row r="61" spans="1:253" ht="12.75">
      <c r="A61" s="73" t="s">
        <v>44</v>
      </c>
      <c r="B61" s="74"/>
      <c r="C61" s="73" t="s">
        <v>129</v>
      </c>
      <c r="D61" s="74"/>
      <c r="E61" s="74"/>
      <c r="F61" s="74"/>
      <c r="G61" s="74"/>
      <c r="H61" s="74"/>
      <c r="I61" s="73" t="s">
        <v>235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3" t="s">
        <v>291</v>
      </c>
      <c r="AQ61" s="74"/>
      <c r="AR61" s="65">
        <v>16.412</v>
      </c>
      <c r="AS61" s="66"/>
      <c r="AT61" s="66"/>
      <c r="AU61" s="66"/>
      <c r="AV61" s="66"/>
      <c r="AW61" s="65"/>
      <c r="AX61" s="66"/>
      <c r="AY61" s="66"/>
      <c r="AZ61" s="66"/>
      <c r="BA61" s="66"/>
      <c r="BB61" s="66"/>
      <c r="BC61" s="66"/>
      <c r="BD61" s="66"/>
      <c r="BE61" s="65">
        <f>IR61*AR61+IS61*AR61</f>
        <v>0</v>
      </c>
      <c r="BF61" s="66"/>
      <c r="BG61" s="66"/>
      <c r="BH61" s="66"/>
      <c r="BI61" s="66"/>
      <c r="BJ61" s="66"/>
      <c r="BK61" s="66"/>
      <c r="BL61" s="66"/>
      <c r="IR61" s="7">
        <f>AW61*0.173321976149915</f>
        <v>0</v>
      </c>
      <c r="IS61" s="7">
        <f>AW61*(1-0.173321976149915)</f>
        <v>0</v>
      </c>
    </row>
    <row r="62" spans="1:64" ht="12.75">
      <c r="A62" s="67" t="s">
        <v>6</v>
      </c>
      <c r="B62" s="68"/>
      <c r="C62" s="67" t="s">
        <v>130</v>
      </c>
      <c r="D62" s="68"/>
      <c r="E62" s="68"/>
      <c r="F62" s="68"/>
      <c r="G62" s="68"/>
      <c r="H62" s="68"/>
      <c r="I62" s="67" t="s">
        <v>236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7" t="s">
        <v>6</v>
      </c>
      <c r="AQ62" s="68"/>
      <c r="AR62" s="69" t="s">
        <v>6</v>
      </c>
      <c r="AS62" s="70"/>
      <c r="AT62" s="70"/>
      <c r="AU62" s="70"/>
      <c r="AV62" s="70"/>
      <c r="AW62" s="69" t="s">
        <v>6</v>
      </c>
      <c r="AX62" s="70"/>
      <c r="AY62" s="70"/>
      <c r="AZ62" s="70"/>
      <c r="BA62" s="70"/>
      <c r="BB62" s="70"/>
      <c r="BC62" s="70"/>
      <c r="BD62" s="70"/>
      <c r="BE62" s="75">
        <f>SUM(BE63:BE65)</f>
        <v>0</v>
      </c>
      <c r="BF62" s="70"/>
      <c r="BG62" s="70"/>
      <c r="BH62" s="70"/>
      <c r="BI62" s="70"/>
      <c r="BJ62" s="70"/>
      <c r="BK62" s="70"/>
      <c r="BL62" s="70"/>
    </row>
    <row r="63" spans="1:253" ht="12.75">
      <c r="A63" s="73" t="s">
        <v>45</v>
      </c>
      <c r="B63" s="74"/>
      <c r="C63" s="73" t="s">
        <v>131</v>
      </c>
      <c r="D63" s="74"/>
      <c r="E63" s="74"/>
      <c r="F63" s="74"/>
      <c r="G63" s="74"/>
      <c r="H63" s="74"/>
      <c r="I63" s="73" t="s">
        <v>237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3" t="s">
        <v>291</v>
      </c>
      <c r="AQ63" s="74"/>
      <c r="AR63" s="65">
        <v>66.2</v>
      </c>
      <c r="AS63" s="66"/>
      <c r="AT63" s="66"/>
      <c r="AU63" s="66"/>
      <c r="AV63" s="66"/>
      <c r="AW63" s="65"/>
      <c r="AX63" s="66"/>
      <c r="AY63" s="66"/>
      <c r="AZ63" s="66"/>
      <c r="BA63" s="66"/>
      <c r="BB63" s="66"/>
      <c r="BC63" s="66"/>
      <c r="BD63" s="66"/>
      <c r="BE63" s="65">
        <f>IR63*AR63+IS63*AR63</f>
        <v>0</v>
      </c>
      <c r="BF63" s="66"/>
      <c r="BG63" s="66"/>
      <c r="BH63" s="66"/>
      <c r="BI63" s="66"/>
      <c r="BJ63" s="66"/>
      <c r="BK63" s="66"/>
      <c r="BL63" s="66"/>
      <c r="IR63" s="7">
        <f>AW63*0</f>
        <v>0</v>
      </c>
      <c r="IS63" s="7">
        <f>AW63*(1-0)</f>
        <v>0</v>
      </c>
    </row>
    <row r="64" spans="1:253" ht="12.75">
      <c r="A64" s="73" t="s">
        <v>46</v>
      </c>
      <c r="B64" s="74"/>
      <c r="C64" s="73" t="s">
        <v>132</v>
      </c>
      <c r="D64" s="74"/>
      <c r="E64" s="74"/>
      <c r="F64" s="74"/>
      <c r="G64" s="74"/>
      <c r="H64" s="74"/>
      <c r="I64" s="73" t="s">
        <v>238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3" t="s">
        <v>291</v>
      </c>
      <c r="AQ64" s="74"/>
      <c r="AR64" s="65">
        <v>66.2</v>
      </c>
      <c r="AS64" s="66"/>
      <c r="AT64" s="66"/>
      <c r="AU64" s="66"/>
      <c r="AV64" s="66"/>
      <c r="AW64" s="65"/>
      <c r="AX64" s="66"/>
      <c r="AY64" s="66"/>
      <c r="AZ64" s="66"/>
      <c r="BA64" s="66"/>
      <c r="BB64" s="66"/>
      <c r="BC64" s="66"/>
      <c r="BD64" s="66"/>
      <c r="BE64" s="65">
        <f>IR64*AR64+IS64*AR64</f>
        <v>0</v>
      </c>
      <c r="BF64" s="66"/>
      <c r="BG64" s="66"/>
      <c r="BH64" s="66"/>
      <c r="BI64" s="66"/>
      <c r="BJ64" s="66"/>
      <c r="BK64" s="66"/>
      <c r="BL64" s="66"/>
      <c r="IR64" s="7">
        <f>AW64*0.396593673965937</f>
        <v>0</v>
      </c>
      <c r="IS64" s="7">
        <f>AW64*(1-0.396593673965937)</f>
        <v>0</v>
      </c>
    </row>
    <row r="65" spans="1:253" ht="12.75">
      <c r="A65" s="73" t="s">
        <v>47</v>
      </c>
      <c r="B65" s="74"/>
      <c r="C65" s="73" t="s">
        <v>133</v>
      </c>
      <c r="D65" s="74"/>
      <c r="E65" s="74"/>
      <c r="F65" s="74"/>
      <c r="G65" s="74"/>
      <c r="H65" s="74"/>
      <c r="I65" s="73" t="s">
        <v>239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3" t="s">
        <v>291</v>
      </c>
      <c r="AQ65" s="74"/>
      <c r="AR65" s="65">
        <v>66.2</v>
      </c>
      <c r="AS65" s="66"/>
      <c r="AT65" s="66"/>
      <c r="AU65" s="66"/>
      <c r="AV65" s="66"/>
      <c r="AW65" s="65"/>
      <c r="AX65" s="66"/>
      <c r="AY65" s="66"/>
      <c r="AZ65" s="66"/>
      <c r="BA65" s="66"/>
      <c r="BB65" s="66"/>
      <c r="BC65" s="66"/>
      <c r="BD65" s="66"/>
      <c r="BE65" s="65">
        <f>IR65*AR65+IS65*AR65</f>
        <v>0</v>
      </c>
      <c r="BF65" s="66"/>
      <c r="BG65" s="66"/>
      <c r="BH65" s="66"/>
      <c r="BI65" s="66"/>
      <c r="BJ65" s="66"/>
      <c r="BK65" s="66"/>
      <c r="BL65" s="66"/>
      <c r="IR65" s="7">
        <f>AW65*0.137764505119454</f>
        <v>0</v>
      </c>
      <c r="IS65" s="7">
        <f>AW65*(1-0.137764505119454)</f>
        <v>0</v>
      </c>
    </row>
    <row r="66" spans="1:64" ht="12.75">
      <c r="A66" s="67" t="s">
        <v>6</v>
      </c>
      <c r="B66" s="68"/>
      <c r="C66" s="67" t="s">
        <v>134</v>
      </c>
      <c r="D66" s="68"/>
      <c r="E66" s="68"/>
      <c r="F66" s="68"/>
      <c r="G66" s="68"/>
      <c r="H66" s="68"/>
      <c r="I66" s="67" t="s">
        <v>240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7" t="s">
        <v>6</v>
      </c>
      <c r="AQ66" s="68"/>
      <c r="AR66" s="69" t="s">
        <v>6</v>
      </c>
      <c r="AS66" s="70"/>
      <c r="AT66" s="70"/>
      <c r="AU66" s="70"/>
      <c r="AV66" s="70"/>
      <c r="AW66" s="69" t="s">
        <v>6</v>
      </c>
      <c r="AX66" s="70"/>
      <c r="AY66" s="70"/>
      <c r="AZ66" s="70"/>
      <c r="BA66" s="70"/>
      <c r="BB66" s="70"/>
      <c r="BC66" s="70"/>
      <c r="BD66" s="70"/>
      <c r="BE66" s="75">
        <f>SUM(BE67:BE67)</f>
        <v>0</v>
      </c>
      <c r="BF66" s="70"/>
      <c r="BG66" s="70"/>
      <c r="BH66" s="70"/>
      <c r="BI66" s="70"/>
      <c r="BJ66" s="70"/>
      <c r="BK66" s="70"/>
      <c r="BL66" s="70"/>
    </row>
    <row r="67" spans="1:253" ht="12.75">
      <c r="A67" s="73" t="s">
        <v>48</v>
      </c>
      <c r="B67" s="74"/>
      <c r="C67" s="73" t="s">
        <v>135</v>
      </c>
      <c r="D67" s="74"/>
      <c r="E67" s="74"/>
      <c r="F67" s="74"/>
      <c r="G67" s="74"/>
      <c r="H67" s="74"/>
      <c r="I67" s="73" t="s">
        <v>241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3" t="s">
        <v>293</v>
      </c>
      <c r="AQ67" s="74"/>
      <c r="AR67" s="65">
        <v>1</v>
      </c>
      <c r="AS67" s="66"/>
      <c r="AT67" s="66"/>
      <c r="AU67" s="66"/>
      <c r="AV67" s="66"/>
      <c r="AW67" s="65"/>
      <c r="AX67" s="66"/>
      <c r="AY67" s="66"/>
      <c r="AZ67" s="66"/>
      <c r="BA67" s="66"/>
      <c r="BB67" s="66"/>
      <c r="BC67" s="66"/>
      <c r="BD67" s="66"/>
      <c r="BE67" s="65">
        <f>IR67*AR67+IS67*AR67</f>
        <v>0</v>
      </c>
      <c r="BF67" s="66"/>
      <c r="BG67" s="66"/>
      <c r="BH67" s="66"/>
      <c r="BI67" s="66"/>
      <c r="BJ67" s="66"/>
      <c r="BK67" s="66"/>
      <c r="BL67" s="66"/>
      <c r="IR67" s="7">
        <f>AW67*0.478142857142857</f>
        <v>0</v>
      </c>
      <c r="IS67" s="7">
        <f>AW67*(1-0.478142857142857)</f>
        <v>0</v>
      </c>
    </row>
    <row r="68" spans="1:64" ht="12.75">
      <c r="A68" s="67" t="s">
        <v>6</v>
      </c>
      <c r="B68" s="68"/>
      <c r="C68" s="67" t="s">
        <v>136</v>
      </c>
      <c r="D68" s="68"/>
      <c r="E68" s="68"/>
      <c r="F68" s="68"/>
      <c r="G68" s="68"/>
      <c r="H68" s="68"/>
      <c r="I68" s="67" t="s">
        <v>242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7" t="s">
        <v>6</v>
      </c>
      <c r="AQ68" s="68"/>
      <c r="AR68" s="69" t="s">
        <v>6</v>
      </c>
      <c r="AS68" s="70"/>
      <c r="AT68" s="70"/>
      <c r="AU68" s="70"/>
      <c r="AV68" s="70"/>
      <c r="AW68" s="69" t="s">
        <v>6</v>
      </c>
      <c r="AX68" s="70"/>
      <c r="AY68" s="70"/>
      <c r="AZ68" s="70"/>
      <c r="BA68" s="70"/>
      <c r="BB68" s="70"/>
      <c r="BC68" s="70"/>
      <c r="BD68" s="70"/>
      <c r="BE68" s="75">
        <f>SUM(BE69:BE73)</f>
        <v>0</v>
      </c>
      <c r="BF68" s="70"/>
      <c r="BG68" s="70"/>
      <c r="BH68" s="70"/>
      <c r="BI68" s="70"/>
      <c r="BJ68" s="70"/>
      <c r="BK68" s="70"/>
      <c r="BL68" s="70"/>
    </row>
    <row r="69" spans="1:253" ht="12.75">
      <c r="A69" s="73" t="s">
        <v>49</v>
      </c>
      <c r="B69" s="74"/>
      <c r="C69" s="73" t="s">
        <v>137</v>
      </c>
      <c r="D69" s="74"/>
      <c r="E69" s="74"/>
      <c r="F69" s="74"/>
      <c r="G69" s="74"/>
      <c r="H69" s="74"/>
      <c r="I69" s="73" t="s">
        <v>243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3" t="s">
        <v>291</v>
      </c>
      <c r="AQ69" s="74"/>
      <c r="AR69" s="65">
        <v>32.52</v>
      </c>
      <c r="AS69" s="66"/>
      <c r="AT69" s="66"/>
      <c r="AU69" s="66"/>
      <c r="AV69" s="66"/>
      <c r="AW69" s="65"/>
      <c r="AX69" s="66"/>
      <c r="AY69" s="66"/>
      <c r="AZ69" s="66"/>
      <c r="BA69" s="66"/>
      <c r="BB69" s="66"/>
      <c r="BC69" s="66"/>
      <c r="BD69" s="66"/>
      <c r="BE69" s="65">
        <f>IR69*AR69+IS69*AR69</f>
        <v>0</v>
      </c>
      <c r="BF69" s="66"/>
      <c r="BG69" s="66"/>
      <c r="BH69" s="66"/>
      <c r="BI69" s="66"/>
      <c r="BJ69" s="66"/>
      <c r="BK69" s="66"/>
      <c r="BL69" s="66"/>
      <c r="IR69" s="7">
        <f>AW69*0.002710027100271</f>
        <v>0</v>
      </c>
      <c r="IS69" s="7">
        <f>AW69*(1-0.002710027100271)</f>
        <v>0</v>
      </c>
    </row>
    <row r="70" spans="1:253" ht="12.75">
      <c r="A70" s="73" t="s">
        <v>50</v>
      </c>
      <c r="B70" s="74"/>
      <c r="C70" s="73" t="s">
        <v>138</v>
      </c>
      <c r="D70" s="74"/>
      <c r="E70" s="74"/>
      <c r="F70" s="74"/>
      <c r="G70" s="74"/>
      <c r="H70" s="74"/>
      <c r="I70" s="73" t="s">
        <v>244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3" t="s">
        <v>291</v>
      </c>
      <c r="AQ70" s="74"/>
      <c r="AR70" s="65">
        <v>48.932</v>
      </c>
      <c r="AS70" s="66"/>
      <c r="AT70" s="66"/>
      <c r="AU70" s="66"/>
      <c r="AV70" s="66"/>
      <c r="AW70" s="65"/>
      <c r="AX70" s="66"/>
      <c r="AY70" s="66"/>
      <c r="AZ70" s="66"/>
      <c r="BA70" s="66"/>
      <c r="BB70" s="66"/>
      <c r="BC70" s="66"/>
      <c r="BD70" s="66"/>
      <c r="BE70" s="65">
        <f>IR70*AR70+IS70*AR70</f>
        <v>0</v>
      </c>
      <c r="BF70" s="66"/>
      <c r="BG70" s="66"/>
      <c r="BH70" s="66"/>
      <c r="BI70" s="66"/>
      <c r="BJ70" s="66"/>
      <c r="BK70" s="66"/>
      <c r="BL70" s="66"/>
      <c r="IR70" s="7">
        <f>AW70*0.402944595118171</f>
        <v>0</v>
      </c>
      <c r="IS70" s="7">
        <f>AW70*(1-0.402944595118171)</f>
        <v>0</v>
      </c>
    </row>
    <row r="71" spans="1:253" ht="12.75">
      <c r="A71" s="73" t="s">
        <v>51</v>
      </c>
      <c r="B71" s="74"/>
      <c r="C71" s="73" t="s">
        <v>139</v>
      </c>
      <c r="D71" s="74"/>
      <c r="E71" s="74"/>
      <c r="F71" s="74"/>
      <c r="G71" s="74"/>
      <c r="H71" s="74"/>
      <c r="I71" s="73" t="s">
        <v>245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3" t="s">
        <v>291</v>
      </c>
      <c r="AQ71" s="74"/>
      <c r="AR71" s="65">
        <v>32.52</v>
      </c>
      <c r="AS71" s="66"/>
      <c r="AT71" s="66"/>
      <c r="AU71" s="66"/>
      <c r="AV71" s="66"/>
      <c r="AW71" s="65"/>
      <c r="AX71" s="66"/>
      <c r="AY71" s="66"/>
      <c r="AZ71" s="66"/>
      <c r="BA71" s="66"/>
      <c r="BB71" s="66"/>
      <c r="BC71" s="66"/>
      <c r="BD71" s="66"/>
      <c r="BE71" s="65">
        <f>IR71*AR71+IS71*AR71</f>
        <v>0</v>
      </c>
      <c r="BF71" s="66"/>
      <c r="BG71" s="66"/>
      <c r="BH71" s="66"/>
      <c r="BI71" s="66"/>
      <c r="BJ71" s="66"/>
      <c r="BK71" s="66"/>
      <c r="BL71" s="66"/>
      <c r="IR71" s="7">
        <f>AW71*0.092512666541565</f>
        <v>0</v>
      </c>
      <c r="IS71" s="7">
        <f>AW71*(1-0.092512666541565)</f>
        <v>0</v>
      </c>
    </row>
    <row r="72" spans="1:253" ht="12.75">
      <c r="A72" s="73" t="s">
        <v>52</v>
      </c>
      <c r="B72" s="74"/>
      <c r="C72" s="73" t="s">
        <v>140</v>
      </c>
      <c r="D72" s="74"/>
      <c r="E72" s="74"/>
      <c r="F72" s="74"/>
      <c r="G72" s="74"/>
      <c r="H72" s="74"/>
      <c r="I72" s="73" t="s">
        <v>246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3" t="s">
        <v>291</v>
      </c>
      <c r="AQ72" s="74"/>
      <c r="AR72" s="65">
        <v>16.412</v>
      </c>
      <c r="AS72" s="66"/>
      <c r="AT72" s="66"/>
      <c r="AU72" s="66"/>
      <c r="AV72" s="66"/>
      <c r="AW72" s="65"/>
      <c r="AX72" s="66"/>
      <c r="AY72" s="66"/>
      <c r="AZ72" s="66"/>
      <c r="BA72" s="66"/>
      <c r="BB72" s="66"/>
      <c r="BC72" s="66"/>
      <c r="BD72" s="66"/>
      <c r="BE72" s="65">
        <f>IR72*AR72+IS72*AR72</f>
        <v>0</v>
      </c>
      <c r="BF72" s="66"/>
      <c r="BG72" s="66"/>
      <c r="BH72" s="66"/>
      <c r="BI72" s="66"/>
      <c r="BJ72" s="66"/>
      <c r="BK72" s="66"/>
      <c r="BL72" s="66"/>
      <c r="IR72" s="7">
        <f>AW72*0.180789022298456</f>
        <v>0</v>
      </c>
      <c r="IS72" s="7">
        <f>AW72*(1-0.180789022298456)</f>
        <v>0</v>
      </c>
    </row>
    <row r="73" spans="1:253" ht="12.75">
      <c r="A73" s="73" t="s">
        <v>53</v>
      </c>
      <c r="B73" s="74"/>
      <c r="C73" s="73" t="s">
        <v>141</v>
      </c>
      <c r="D73" s="74"/>
      <c r="E73" s="74"/>
      <c r="F73" s="74"/>
      <c r="G73" s="74"/>
      <c r="H73" s="74"/>
      <c r="I73" s="73" t="s">
        <v>247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3" t="s">
        <v>291</v>
      </c>
      <c r="AQ73" s="74"/>
      <c r="AR73" s="65">
        <v>20</v>
      </c>
      <c r="AS73" s="66"/>
      <c r="AT73" s="66"/>
      <c r="AU73" s="66"/>
      <c r="AV73" s="66"/>
      <c r="AW73" s="65"/>
      <c r="AX73" s="66"/>
      <c r="AY73" s="66"/>
      <c r="AZ73" s="66"/>
      <c r="BA73" s="66"/>
      <c r="BB73" s="66"/>
      <c r="BC73" s="66"/>
      <c r="BD73" s="66"/>
      <c r="BE73" s="65">
        <f>IR73*AR73+IS73*AR73</f>
        <v>0</v>
      </c>
      <c r="BF73" s="66"/>
      <c r="BG73" s="66"/>
      <c r="BH73" s="66"/>
      <c r="BI73" s="66"/>
      <c r="BJ73" s="66"/>
      <c r="BK73" s="66"/>
      <c r="BL73" s="66"/>
      <c r="IR73" s="7">
        <f>AW73*0.592356687898089</f>
        <v>0</v>
      </c>
      <c r="IS73" s="7">
        <f>AW73*(1-0.592356687898089)</f>
        <v>0</v>
      </c>
    </row>
    <row r="74" spans="1:64" ht="12.75">
      <c r="A74" s="67" t="s">
        <v>6</v>
      </c>
      <c r="B74" s="68"/>
      <c r="C74" s="67" t="s">
        <v>142</v>
      </c>
      <c r="D74" s="68"/>
      <c r="E74" s="68"/>
      <c r="F74" s="68"/>
      <c r="G74" s="68"/>
      <c r="H74" s="68"/>
      <c r="I74" s="67" t="s">
        <v>248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7" t="s">
        <v>6</v>
      </c>
      <c r="AQ74" s="68"/>
      <c r="AR74" s="69" t="s">
        <v>6</v>
      </c>
      <c r="AS74" s="70"/>
      <c r="AT74" s="70"/>
      <c r="AU74" s="70"/>
      <c r="AV74" s="70"/>
      <c r="AW74" s="69" t="s">
        <v>6</v>
      </c>
      <c r="AX74" s="70"/>
      <c r="AY74" s="70"/>
      <c r="AZ74" s="70"/>
      <c r="BA74" s="70"/>
      <c r="BB74" s="70"/>
      <c r="BC74" s="70"/>
      <c r="BD74" s="70"/>
      <c r="BE74" s="75">
        <f>SUM(BE75:BE75)</f>
        <v>0</v>
      </c>
      <c r="BF74" s="70"/>
      <c r="BG74" s="70"/>
      <c r="BH74" s="70"/>
      <c r="BI74" s="70"/>
      <c r="BJ74" s="70"/>
      <c r="BK74" s="70"/>
      <c r="BL74" s="70"/>
    </row>
    <row r="75" spans="1:253" ht="12.75">
      <c r="A75" s="73" t="s">
        <v>54</v>
      </c>
      <c r="B75" s="74"/>
      <c r="C75" s="73" t="s">
        <v>143</v>
      </c>
      <c r="D75" s="74"/>
      <c r="E75" s="74"/>
      <c r="F75" s="74"/>
      <c r="G75" s="74"/>
      <c r="H75" s="74"/>
      <c r="I75" s="73" t="s">
        <v>249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3" t="s">
        <v>291</v>
      </c>
      <c r="AQ75" s="74"/>
      <c r="AR75" s="65">
        <v>16.412</v>
      </c>
      <c r="AS75" s="66"/>
      <c r="AT75" s="66"/>
      <c r="AU75" s="66"/>
      <c r="AV75" s="66"/>
      <c r="AW75" s="65"/>
      <c r="AX75" s="66"/>
      <c r="AY75" s="66"/>
      <c r="AZ75" s="66"/>
      <c r="BA75" s="66"/>
      <c r="BB75" s="66"/>
      <c r="BC75" s="66"/>
      <c r="BD75" s="66"/>
      <c r="BE75" s="65">
        <f>IR75*AR75+IS75*AR75</f>
        <v>0</v>
      </c>
      <c r="BF75" s="66"/>
      <c r="BG75" s="66"/>
      <c r="BH75" s="66"/>
      <c r="BI75" s="66"/>
      <c r="BJ75" s="66"/>
      <c r="BK75" s="66"/>
      <c r="BL75" s="66"/>
      <c r="IR75" s="7">
        <f>AW75*0.422333333333333</f>
        <v>0</v>
      </c>
      <c r="IS75" s="7">
        <f>AW75*(1-0.422333333333333)</f>
        <v>0</v>
      </c>
    </row>
    <row r="76" spans="1:64" ht="12.75">
      <c r="A76" s="67" t="s">
        <v>6</v>
      </c>
      <c r="B76" s="68"/>
      <c r="C76" s="67" t="s">
        <v>144</v>
      </c>
      <c r="D76" s="68"/>
      <c r="E76" s="68"/>
      <c r="F76" s="68"/>
      <c r="G76" s="68"/>
      <c r="H76" s="68"/>
      <c r="I76" s="67" t="s">
        <v>250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7" t="s">
        <v>6</v>
      </c>
      <c r="AQ76" s="68"/>
      <c r="AR76" s="69" t="s">
        <v>6</v>
      </c>
      <c r="AS76" s="70"/>
      <c r="AT76" s="70"/>
      <c r="AU76" s="70"/>
      <c r="AV76" s="70"/>
      <c r="AW76" s="69" t="s">
        <v>6</v>
      </c>
      <c r="AX76" s="70"/>
      <c r="AY76" s="70"/>
      <c r="AZ76" s="70"/>
      <c r="BA76" s="70"/>
      <c r="BB76" s="70"/>
      <c r="BC76" s="70"/>
      <c r="BD76" s="70"/>
      <c r="BE76" s="75">
        <f>SUM(BE77:BE81)</f>
        <v>0</v>
      </c>
      <c r="BF76" s="70"/>
      <c r="BG76" s="70"/>
      <c r="BH76" s="70"/>
      <c r="BI76" s="70"/>
      <c r="BJ76" s="70"/>
      <c r="BK76" s="70"/>
      <c r="BL76" s="70"/>
    </row>
    <row r="77" spans="1:253" ht="12.75">
      <c r="A77" s="73" t="s">
        <v>55</v>
      </c>
      <c r="B77" s="74"/>
      <c r="C77" s="73" t="s">
        <v>145</v>
      </c>
      <c r="D77" s="74"/>
      <c r="E77" s="74"/>
      <c r="F77" s="74"/>
      <c r="G77" s="74"/>
      <c r="H77" s="74"/>
      <c r="I77" s="73" t="s">
        <v>251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3" t="s">
        <v>290</v>
      </c>
      <c r="AQ77" s="74"/>
      <c r="AR77" s="65">
        <v>4</v>
      </c>
      <c r="AS77" s="66"/>
      <c r="AT77" s="66"/>
      <c r="AU77" s="66"/>
      <c r="AV77" s="66"/>
      <c r="AW77" s="65"/>
      <c r="AX77" s="66"/>
      <c r="AY77" s="66"/>
      <c r="AZ77" s="66"/>
      <c r="BA77" s="66"/>
      <c r="BB77" s="66"/>
      <c r="BC77" s="66"/>
      <c r="BD77" s="66"/>
      <c r="BE77" s="65">
        <f>IR77*AR77+IS77*AR77</f>
        <v>0</v>
      </c>
      <c r="BF77" s="66"/>
      <c r="BG77" s="66"/>
      <c r="BH77" s="66"/>
      <c r="BI77" s="66"/>
      <c r="BJ77" s="66"/>
      <c r="BK77" s="66"/>
      <c r="BL77" s="66"/>
      <c r="IR77" s="7">
        <f>AW77*0</f>
        <v>0</v>
      </c>
      <c r="IS77" s="7">
        <f>AW77*(1-0)</f>
        <v>0</v>
      </c>
    </row>
    <row r="78" spans="1:253" ht="12.75">
      <c r="A78" s="73" t="s">
        <v>56</v>
      </c>
      <c r="B78" s="74"/>
      <c r="C78" s="73" t="s">
        <v>146</v>
      </c>
      <c r="D78" s="74"/>
      <c r="E78" s="74"/>
      <c r="F78" s="74"/>
      <c r="G78" s="74"/>
      <c r="H78" s="74"/>
      <c r="I78" s="73" t="s">
        <v>252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3" t="s">
        <v>291</v>
      </c>
      <c r="AQ78" s="74"/>
      <c r="AR78" s="65">
        <v>5.2</v>
      </c>
      <c r="AS78" s="66"/>
      <c r="AT78" s="66"/>
      <c r="AU78" s="66"/>
      <c r="AV78" s="66"/>
      <c r="AW78" s="65"/>
      <c r="AX78" s="66"/>
      <c r="AY78" s="66"/>
      <c r="AZ78" s="66"/>
      <c r="BA78" s="66"/>
      <c r="BB78" s="66"/>
      <c r="BC78" s="66"/>
      <c r="BD78" s="66"/>
      <c r="BE78" s="65">
        <f>IR78*AR78+IS78*AR78</f>
        <v>0</v>
      </c>
      <c r="BF78" s="66"/>
      <c r="BG78" s="66"/>
      <c r="BH78" s="66"/>
      <c r="BI78" s="66"/>
      <c r="BJ78" s="66"/>
      <c r="BK78" s="66"/>
      <c r="BL78" s="66"/>
      <c r="IR78" s="7">
        <f>AW78*0.0755766621438263</f>
        <v>0</v>
      </c>
      <c r="IS78" s="7">
        <f>AW78*(1-0.0755766621438263)</f>
        <v>0</v>
      </c>
    </row>
    <row r="79" spans="1:253" ht="12.75">
      <c r="A79" s="73" t="s">
        <v>57</v>
      </c>
      <c r="B79" s="74"/>
      <c r="C79" s="73" t="s">
        <v>147</v>
      </c>
      <c r="D79" s="74"/>
      <c r="E79" s="74"/>
      <c r="F79" s="74"/>
      <c r="G79" s="74"/>
      <c r="H79" s="74"/>
      <c r="I79" s="73" t="s">
        <v>253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3" t="s">
        <v>291</v>
      </c>
      <c r="AQ79" s="74"/>
      <c r="AR79" s="65">
        <v>16.412</v>
      </c>
      <c r="AS79" s="66"/>
      <c r="AT79" s="66"/>
      <c r="AU79" s="66"/>
      <c r="AV79" s="66"/>
      <c r="AW79" s="65"/>
      <c r="AX79" s="66"/>
      <c r="AY79" s="66"/>
      <c r="AZ79" s="66"/>
      <c r="BA79" s="66"/>
      <c r="BB79" s="66"/>
      <c r="BC79" s="66"/>
      <c r="BD79" s="66"/>
      <c r="BE79" s="65">
        <f>IR79*AR79+IS79*AR79</f>
        <v>0</v>
      </c>
      <c r="BF79" s="66"/>
      <c r="BG79" s="66"/>
      <c r="BH79" s="66"/>
      <c r="BI79" s="66"/>
      <c r="BJ79" s="66"/>
      <c r="BK79" s="66"/>
      <c r="BL79" s="66"/>
      <c r="IR79" s="7">
        <f>AW79*0</f>
        <v>0</v>
      </c>
      <c r="IS79" s="7">
        <f>AW79*(1-0)</f>
        <v>0</v>
      </c>
    </row>
    <row r="80" spans="1:253" ht="12.75">
      <c r="A80" s="73" t="s">
        <v>58</v>
      </c>
      <c r="B80" s="74"/>
      <c r="C80" s="73" t="s">
        <v>148</v>
      </c>
      <c r="D80" s="74"/>
      <c r="E80" s="74"/>
      <c r="F80" s="74"/>
      <c r="G80" s="74"/>
      <c r="H80" s="74"/>
      <c r="I80" s="73" t="s">
        <v>254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3" t="s">
        <v>295</v>
      </c>
      <c r="AQ80" s="74"/>
      <c r="AR80" s="65">
        <v>1.51272</v>
      </c>
      <c r="AS80" s="66"/>
      <c r="AT80" s="66"/>
      <c r="AU80" s="66"/>
      <c r="AV80" s="66"/>
      <c r="AW80" s="65"/>
      <c r="AX80" s="66"/>
      <c r="AY80" s="66"/>
      <c r="AZ80" s="66"/>
      <c r="BA80" s="66"/>
      <c r="BB80" s="66"/>
      <c r="BC80" s="66"/>
      <c r="BD80" s="66"/>
      <c r="BE80" s="65">
        <f>IR80*AR80+IS80*AR80</f>
        <v>0</v>
      </c>
      <c r="BF80" s="66"/>
      <c r="BG80" s="66"/>
      <c r="BH80" s="66"/>
      <c r="BI80" s="66"/>
      <c r="BJ80" s="66"/>
      <c r="BK80" s="66"/>
      <c r="BL80" s="66"/>
      <c r="IR80" s="7">
        <f>AW80*0</f>
        <v>0</v>
      </c>
      <c r="IS80" s="7">
        <f>AW80*(1-0)</f>
        <v>0</v>
      </c>
    </row>
    <row r="81" spans="1:253" ht="12.75">
      <c r="A81" s="73" t="s">
        <v>59</v>
      </c>
      <c r="B81" s="74"/>
      <c r="C81" s="73" t="s">
        <v>149</v>
      </c>
      <c r="D81" s="74"/>
      <c r="E81" s="74"/>
      <c r="F81" s="74"/>
      <c r="G81" s="74"/>
      <c r="H81" s="74"/>
      <c r="I81" s="73" t="s">
        <v>255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3" t="s">
        <v>291</v>
      </c>
      <c r="AQ81" s="74"/>
      <c r="AR81" s="65">
        <v>3.8588</v>
      </c>
      <c r="AS81" s="66"/>
      <c r="AT81" s="66"/>
      <c r="AU81" s="66"/>
      <c r="AV81" s="66"/>
      <c r="AW81" s="65"/>
      <c r="AX81" s="66"/>
      <c r="AY81" s="66"/>
      <c r="AZ81" s="66"/>
      <c r="BA81" s="66"/>
      <c r="BB81" s="66"/>
      <c r="BC81" s="66"/>
      <c r="BD81" s="66"/>
      <c r="BE81" s="65">
        <f>IR81*AR81+IS81*AR81</f>
        <v>0</v>
      </c>
      <c r="BF81" s="66"/>
      <c r="BG81" s="66"/>
      <c r="BH81" s="66"/>
      <c r="BI81" s="66"/>
      <c r="BJ81" s="66"/>
      <c r="BK81" s="66"/>
      <c r="BL81" s="66"/>
      <c r="IR81" s="7">
        <f>AW81*0.133670886075949</f>
        <v>0</v>
      </c>
      <c r="IS81" s="7">
        <f>AW81*(1-0.133670886075949)</f>
        <v>0</v>
      </c>
    </row>
    <row r="82" spans="1:64" ht="12.75">
      <c r="A82" s="67" t="s">
        <v>6</v>
      </c>
      <c r="B82" s="68"/>
      <c r="C82" s="67" t="s">
        <v>150</v>
      </c>
      <c r="D82" s="68"/>
      <c r="E82" s="68"/>
      <c r="F82" s="68"/>
      <c r="G82" s="68"/>
      <c r="H82" s="68"/>
      <c r="I82" s="67" t="s">
        <v>256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7" t="s">
        <v>6</v>
      </c>
      <c r="AQ82" s="68"/>
      <c r="AR82" s="69" t="s">
        <v>6</v>
      </c>
      <c r="AS82" s="70"/>
      <c r="AT82" s="70"/>
      <c r="AU82" s="70"/>
      <c r="AV82" s="70"/>
      <c r="AW82" s="69" t="s">
        <v>6</v>
      </c>
      <c r="AX82" s="70"/>
      <c r="AY82" s="70"/>
      <c r="AZ82" s="70"/>
      <c r="BA82" s="70"/>
      <c r="BB82" s="70"/>
      <c r="BC82" s="70"/>
      <c r="BD82" s="70"/>
      <c r="BE82" s="75">
        <f>SUM(BE83:BE84)</f>
        <v>0</v>
      </c>
      <c r="BF82" s="70"/>
      <c r="BG82" s="70"/>
      <c r="BH82" s="70"/>
      <c r="BI82" s="70"/>
      <c r="BJ82" s="70"/>
      <c r="BK82" s="70"/>
      <c r="BL82" s="70"/>
    </row>
    <row r="83" spans="1:253" ht="12.75">
      <c r="A83" s="73" t="s">
        <v>60</v>
      </c>
      <c r="B83" s="74"/>
      <c r="C83" s="73" t="s">
        <v>151</v>
      </c>
      <c r="D83" s="74"/>
      <c r="E83" s="74"/>
      <c r="F83" s="74"/>
      <c r="G83" s="74"/>
      <c r="H83" s="74"/>
      <c r="I83" s="73" t="s">
        <v>257</v>
      </c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3" t="s">
        <v>291</v>
      </c>
      <c r="AQ83" s="74"/>
      <c r="AR83" s="65">
        <v>36.824</v>
      </c>
      <c r="AS83" s="66"/>
      <c r="AT83" s="66"/>
      <c r="AU83" s="66"/>
      <c r="AV83" s="66"/>
      <c r="AW83" s="65"/>
      <c r="AX83" s="66"/>
      <c r="AY83" s="66"/>
      <c r="AZ83" s="66"/>
      <c r="BA83" s="66"/>
      <c r="BB83" s="66"/>
      <c r="BC83" s="66"/>
      <c r="BD83" s="66"/>
      <c r="BE83" s="65">
        <f>IR83*AR83+IS83*AR83</f>
        <v>0</v>
      </c>
      <c r="BF83" s="66"/>
      <c r="BG83" s="66"/>
      <c r="BH83" s="66"/>
      <c r="BI83" s="66"/>
      <c r="BJ83" s="66"/>
      <c r="BK83" s="66"/>
      <c r="BL83" s="66"/>
      <c r="IR83" s="7">
        <f>AW83*0</f>
        <v>0</v>
      </c>
      <c r="IS83" s="7">
        <f>AW83*(1-0)</f>
        <v>0</v>
      </c>
    </row>
    <row r="84" spans="1:253" ht="12.75">
      <c r="A84" s="73" t="s">
        <v>61</v>
      </c>
      <c r="B84" s="74"/>
      <c r="C84" s="73" t="s">
        <v>152</v>
      </c>
      <c r="D84" s="74"/>
      <c r="E84" s="74"/>
      <c r="F84" s="74"/>
      <c r="G84" s="74"/>
      <c r="H84" s="74"/>
      <c r="I84" s="73" t="s">
        <v>258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3" t="s">
        <v>292</v>
      </c>
      <c r="AQ84" s="74"/>
      <c r="AR84" s="65">
        <v>22</v>
      </c>
      <c r="AS84" s="66"/>
      <c r="AT84" s="66"/>
      <c r="AU84" s="66"/>
      <c r="AV84" s="66"/>
      <c r="AW84" s="65"/>
      <c r="AX84" s="66"/>
      <c r="AY84" s="66"/>
      <c r="AZ84" s="66"/>
      <c r="BA84" s="66"/>
      <c r="BB84" s="66"/>
      <c r="BC84" s="66"/>
      <c r="BD84" s="66"/>
      <c r="BE84" s="65">
        <f>IR84*AR84+IS84*AR84</f>
        <v>0</v>
      </c>
      <c r="BF84" s="66"/>
      <c r="BG84" s="66"/>
      <c r="BH84" s="66"/>
      <c r="BI84" s="66"/>
      <c r="BJ84" s="66"/>
      <c r="BK84" s="66"/>
      <c r="BL84" s="66"/>
      <c r="IR84" s="7">
        <f>AW84*0.1125</f>
        <v>0</v>
      </c>
      <c r="IS84" s="7">
        <f>AW84*(1-0.1125)</f>
        <v>0</v>
      </c>
    </row>
    <row r="85" spans="1:64" ht="12.75">
      <c r="A85" s="67" t="s">
        <v>6</v>
      </c>
      <c r="B85" s="68"/>
      <c r="C85" s="67" t="s">
        <v>153</v>
      </c>
      <c r="D85" s="68"/>
      <c r="E85" s="68"/>
      <c r="F85" s="68"/>
      <c r="G85" s="68"/>
      <c r="H85" s="68"/>
      <c r="I85" s="67" t="s">
        <v>205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7" t="s">
        <v>6</v>
      </c>
      <c r="AQ85" s="68"/>
      <c r="AR85" s="69" t="s">
        <v>6</v>
      </c>
      <c r="AS85" s="70"/>
      <c r="AT85" s="70"/>
      <c r="AU85" s="70"/>
      <c r="AV85" s="70"/>
      <c r="AW85" s="69" t="s">
        <v>6</v>
      </c>
      <c r="AX85" s="70"/>
      <c r="AY85" s="70"/>
      <c r="AZ85" s="70"/>
      <c r="BA85" s="70"/>
      <c r="BB85" s="70"/>
      <c r="BC85" s="70"/>
      <c r="BD85" s="70"/>
      <c r="BE85" s="75">
        <f>SUM(BE86:BE86)</f>
        <v>0</v>
      </c>
      <c r="BF85" s="70"/>
      <c r="BG85" s="70"/>
      <c r="BH85" s="70"/>
      <c r="BI85" s="70"/>
      <c r="BJ85" s="70"/>
      <c r="BK85" s="70"/>
      <c r="BL85" s="70"/>
    </row>
    <row r="86" spans="1:253" ht="12.75">
      <c r="A86" s="73" t="s">
        <v>62</v>
      </c>
      <c r="B86" s="74"/>
      <c r="C86" s="73" t="s">
        <v>154</v>
      </c>
      <c r="D86" s="74"/>
      <c r="E86" s="74"/>
      <c r="F86" s="74"/>
      <c r="G86" s="74"/>
      <c r="H86" s="74"/>
      <c r="I86" s="73" t="s">
        <v>259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3" t="s">
        <v>296</v>
      </c>
      <c r="AQ86" s="74"/>
      <c r="AR86" s="65">
        <v>0.60209</v>
      </c>
      <c r="AS86" s="66"/>
      <c r="AT86" s="66"/>
      <c r="AU86" s="66"/>
      <c r="AV86" s="66"/>
      <c r="AW86" s="65"/>
      <c r="AX86" s="66"/>
      <c r="AY86" s="66"/>
      <c r="AZ86" s="66"/>
      <c r="BA86" s="66"/>
      <c r="BB86" s="66"/>
      <c r="BC86" s="66"/>
      <c r="BD86" s="66"/>
      <c r="BE86" s="65">
        <f>IR86*AR86+IS86*AR86</f>
        <v>0</v>
      </c>
      <c r="BF86" s="66"/>
      <c r="BG86" s="66"/>
      <c r="BH86" s="66"/>
      <c r="BI86" s="66"/>
      <c r="BJ86" s="66"/>
      <c r="BK86" s="66"/>
      <c r="BL86" s="66"/>
      <c r="IR86" s="7">
        <f>AW86*0</f>
        <v>0</v>
      </c>
      <c r="IS86" s="7">
        <f>AW86*(1-0)</f>
        <v>0</v>
      </c>
    </row>
    <row r="87" spans="1:64" ht="12.75">
      <c r="A87" s="67" t="s">
        <v>6</v>
      </c>
      <c r="B87" s="68"/>
      <c r="C87" s="67" t="s">
        <v>155</v>
      </c>
      <c r="D87" s="68"/>
      <c r="E87" s="68"/>
      <c r="F87" s="68"/>
      <c r="G87" s="68"/>
      <c r="H87" s="68"/>
      <c r="I87" s="67" t="s">
        <v>213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7" t="s">
        <v>6</v>
      </c>
      <c r="AQ87" s="68"/>
      <c r="AR87" s="69" t="s">
        <v>6</v>
      </c>
      <c r="AS87" s="70"/>
      <c r="AT87" s="70"/>
      <c r="AU87" s="70"/>
      <c r="AV87" s="70"/>
      <c r="AW87" s="69" t="s">
        <v>6</v>
      </c>
      <c r="AX87" s="70"/>
      <c r="AY87" s="70"/>
      <c r="AZ87" s="70"/>
      <c r="BA87" s="70"/>
      <c r="BB87" s="70"/>
      <c r="BC87" s="70"/>
      <c r="BD87" s="70"/>
      <c r="BE87" s="75">
        <f>SUM(BE88:BE88)</f>
        <v>0</v>
      </c>
      <c r="BF87" s="70"/>
      <c r="BG87" s="70"/>
      <c r="BH87" s="70"/>
      <c r="BI87" s="70"/>
      <c r="BJ87" s="70"/>
      <c r="BK87" s="70"/>
      <c r="BL87" s="70"/>
    </row>
    <row r="88" spans="1:253" ht="12.75">
      <c r="A88" s="73" t="s">
        <v>63</v>
      </c>
      <c r="B88" s="74"/>
      <c r="C88" s="73" t="s">
        <v>156</v>
      </c>
      <c r="D88" s="74"/>
      <c r="E88" s="74"/>
      <c r="F88" s="74"/>
      <c r="G88" s="74"/>
      <c r="H88" s="74"/>
      <c r="I88" s="73" t="s">
        <v>260</v>
      </c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3" t="s">
        <v>296</v>
      </c>
      <c r="AQ88" s="74"/>
      <c r="AR88" s="65">
        <v>0.52467</v>
      </c>
      <c r="AS88" s="66"/>
      <c r="AT88" s="66"/>
      <c r="AU88" s="66"/>
      <c r="AV88" s="66"/>
      <c r="AW88" s="65"/>
      <c r="AX88" s="66"/>
      <c r="AY88" s="66"/>
      <c r="AZ88" s="66"/>
      <c r="BA88" s="66"/>
      <c r="BB88" s="66"/>
      <c r="BC88" s="66"/>
      <c r="BD88" s="66"/>
      <c r="BE88" s="65">
        <f>IR88*AR88+IS88*AR88</f>
        <v>0</v>
      </c>
      <c r="BF88" s="66"/>
      <c r="BG88" s="66"/>
      <c r="BH88" s="66"/>
      <c r="BI88" s="66"/>
      <c r="BJ88" s="66"/>
      <c r="BK88" s="66"/>
      <c r="BL88" s="66"/>
      <c r="IR88" s="7">
        <f>AW88*0</f>
        <v>0</v>
      </c>
      <c r="IS88" s="7">
        <f>AW88*(1-0)</f>
        <v>0</v>
      </c>
    </row>
    <row r="89" spans="1:64" ht="12.75">
      <c r="A89" s="67" t="s">
        <v>6</v>
      </c>
      <c r="B89" s="68"/>
      <c r="C89" s="67" t="s">
        <v>157</v>
      </c>
      <c r="D89" s="68"/>
      <c r="E89" s="68"/>
      <c r="F89" s="68"/>
      <c r="G89" s="68"/>
      <c r="H89" s="68"/>
      <c r="I89" s="67" t="s">
        <v>223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7" t="s">
        <v>6</v>
      </c>
      <c r="AQ89" s="68"/>
      <c r="AR89" s="69" t="s">
        <v>6</v>
      </c>
      <c r="AS89" s="70"/>
      <c r="AT89" s="70"/>
      <c r="AU89" s="70"/>
      <c r="AV89" s="70"/>
      <c r="AW89" s="69" t="s">
        <v>6</v>
      </c>
      <c r="AX89" s="70"/>
      <c r="AY89" s="70"/>
      <c r="AZ89" s="70"/>
      <c r="BA89" s="70"/>
      <c r="BB89" s="70"/>
      <c r="BC89" s="70"/>
      <c r="BD89" s="70"/>
      <c r="BE89" s="75">
        <f>SUM(BE90:BE90)</f>
        <v>0</v>
      </c>
      <c r="BF89" s="70"/>
      <c r="BG89" s="70"/>
      <c r="BH89" s="70"/>
      <c r="BI89" s="70"/>
      <c r="BJ89" s="70"/>
      <c r="BK89" s="70"/>
      <c r="BL89" s="70"/>
    </row>
    <row r="90" spans="1:253" ht="12.75">
      <c r="A90" s="73" t="s">
        <v>64</v>
      </c>
      <c r="B90" s="74"/>
      <c r="C90" s="73" t="s">
        <v>158</v>
      </c>
      <c r="D90" s="74"/>
      <c r="E90" s="74"/>
      <c r="F90" s="74"/>
      <c r="G90" s="74"/>
      <c r="H90" s="74"/>
      <c r="I90" s="73" t="s">
        <v>261</v>
      </c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3" t="s">
        <v>296</v>
      </c>
      <c r="AQ90" s="74"/>
      <c r="AR90" s="65">
        <v>0.07652</v>
      </c>
      <c r="AS90" s="66"/>
      <c r="AT90" s="66"/>
      <c r="AU90" s="66"/>
      <c r="AV90" s="66"/>
      <c r="AW90" s="65"/>
      <c r="AX90" s="66"/>
      <c r="AY90" s="66"/>
      <c r="AZ90" s="66"/>
      <c r="BA90" s="66"/>
      <c r="BB90" s="66"/>
      <c r="BC90" s="66"/>
      <c r="BD90" s="66"/>
      <c r="BE90" s="65">
        <f>IR90*AR90+IS90*AR90</f>
        <v>0</v>
      </c>
      <c r="BF90" s="66"/>
      <c r="BG90" s="66"/>
      <c r="BH90" s="66"/>
      <c r="BI90" s="66"/>
      <c r="BJ90" s="66"/>
      <c r="BK90" s="66"/>
      <c r="BL90" s="66"/>
      <c r="IR90" s="7">
        <f>AW90*0</f>
        <v>0</v>
      </c>
      <c r="IS90" s="7">
        <f>AW90*(1-0)</f>
        <v>0</v>
      </c>
    </row>
    <row r="91" spans="1:64" ht="12.75">
      <c r="A91" s="67" t="s">
        <v>6</v>
      </c>
      <c r="B91" s="68"/>
      <c r="C91" s="67" t="s">
        <v>159</v>
      </c>
      <c r="D91" s="68"/>
      <c r="E91" s="68"/>
      <c r="F91" s="68"/>
      <c r="G91" s="68"/>
      <c r="H91" s="68"/>
      <c r="I91" s="67" t="s">
        <v>228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7" t="s">
        <v>6</v>
      </c>
      <c r="AQ91" s="68"/>
      <c r="AR91" s="69" t="s">
        <v>6</v>
      </c>
      <c r="AS91" s="70"/>
      <c r="AT91" s="70"/>
      <c r="AU91" s="70"/>
      <c r="AV91" s="70"/>
      <c r="AW91" s="69" t="s">
        <v>6</v>
      </c>
      <c r="AX91" s="70"/>
      <c r="AY91" s="70"/>
      <c r="AZ91" s="70"/>
      <c r="BA91" s="70"/>
      <c r="BB91" s="70"/>
      <c r="BC91" s="70"/>
      <c r="BD91" s="70"/>
      <c r="BE91" s="75">
        <f>SUM(BE92:BE92)</f>
        <v>0</v>
      </c>
      <c r="BF91" s="70"/>
      <c r="BG91" s="70"/>
      <c r="BH91" s="70"/>
      <c r="BI91" s="70"/>
      <c r="BJ91" s="70"/>
      <c r="BK91" s="70"/>
      <c r="BL91" s="70"/>
    </row>
    <row r="92" spans="1:253" ht="12.75">
      <c r="A92" s="73" t="s">
        <v>65</v>
      </c>
      <c r="B92" s="74"/>
      <c r="C92" s="73" t="s">
        <v>160</v>
      </c>
      <c r="D92" s="74"/>
      <c r="E92" s="74"/>
      <c r="F92" s="74"/>
      <c r="G92" s="74"/>
      <c r="H92" s="74"/>
      <c r="I92" s="73" t="s">
        <v>262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3" t="s">
        <v>296</v>
      </c>
      <c r="AQ92" s="74"/>
      <c r="AR92" s="65">
        <v>0.082</v>
      </c>
      <c r="AS92" s="66"/>
      <c r="AT92" s="66"/>
      <c r="AU92" s="66"/>
      <c r="AV92" s="66"/>
      <c r="AW92" s="65"/>
      <c r="AX92" s="66"/>
      <c r="AY92" s="66"/>
      <c r="AZ92" s="66"/>
      <c r="BA92" s="66"/>
      <c r="BB92" s="66"/>
      <c r="BC92" s="66"/>
      <c r="BD92" s="66"/>
      <c r="BE92" s="65">
        <f>IR92*AR92+IS92*AR92</f>
        <v>0</v>
      </c>
      <c r="BF92" s="66"/>
      <c r="BG92" s="66"/>
      <c r="BH92" s="66"/>
      <c r="BI92" s="66"/>
      <c r="BJ92" s="66"/>
      <c r="BK92" s="66"/>
      <c r="BL92" s="66"/>
      <c r="IR92" s="7">
        <f>AW92*0</f>
        <v>0</v>
      </c>
      <c r="IS92" s="7">
        <f>AW92*(1-0)</f>
        <v>0</v>
      </c>
    </row>
    <row r="93" spans="1:64" ht="12.75">
      <c r="A93" s="67" t="s">
        <v>6</v>
      </c>
      <c r="B93" s="68"/>
      <c r="C93" s="67" t="s">
        <v>161</v>
      </c>
      <c r="D93" s="68"/>
      <c r="E93" s="68"/>
      <c r="F93" s="68"/>
      <c r="G93" s="68"/>
      <c r="H93" s="68"/>
      <c r="I93" s="67" t="s">
        <v>232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7" t="s">
        <v>6</v>
      </c>
      <c r="AQ93" s="68"/>
      <c r="AR93" s="69" t="s">
        <v>6</v>
      </c>
      <c r="AS93" s="70"/>
      <c r="AT93" s="70"/>
      <c r="AU93" s="70"/>
      <c r="AV93" s="70"/>
      <c r="AW93" s="69" t="s">
        <v>6</v>
      </c>
      <c r="AX93" s="70"/>
      <c r="AY93" s="70"/>
      <c r="AZ93" s="70"/>
      <c r="BA93" s="70"/>
      <c r="BB93" s="70"/>
      <c r="BC93" s="70"/>
      <c r="BD93" s="70"/>
      <c r="BE93" s="75">
        <f>SUM(BE94:BE94)</f>
        <v>0</v>
      </c>
      <c r="BF93" s="70"/>
      <c r="BG93" s="70"/>
      <c r="BH93" s="70"/>
      <c r="BI93" s="70"/>
      <c r="BJ93" s="70"/>
      <c r="BK93" s="70"/>
      <c r="BL93" s="70"/>
    </row>
    <row r="94" spans="1:253" ht="12.75">
      <c r="A94" s="73" t="s">
        <v>66</v>
      </c>
      <c r="B94" s="74"/>
      <c r="C94" s="73" t="s">
        <v>162</v>
      </c>
      <c r="D94" s="74"/>
      <c r="E94" s="74"/>
      <c r="F94" s="74"/>
      <c r="G94" s="74"/>
      <c r="H94" s="74"/>
      <c r="I94" s="73" t="s">
        <v>263</v>
      </c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3" t="s">
        <v>296</v>
      </c>
      <c r="AQ94" s="74"/>
      <c r="AR94" s="65">
        <v>0.45441</v>
      </c>
      <c r="AS94" s="66"/>
      <c r="AT94" s="66"/>
      <c r="AU94" s="66"/>
      <c r="AV94" s="66"/>
      <c r="AW94" s="65"/>
      <c r="AX94" s="66"/>
      <c r="AY94" s="66"/>
      <c r="AZ94" s="66"/>
      <c r="BA94" s="66"/>
      <c r="BB94" s="66"/>
      <c r="BC94" s="66"/>
      <c r="BD94" s="66"/>
      <c r="BE94" s="65">
        <f>IR94*AR94+IS94*AR94</f>
        <v>0</v>
      </c>
      <c r="BF94" s="66"/>
      <c r="BG94" s="66"/>
      <c r="BH94" s="66"/>
      <c r="BI94" s="66"/>
      <c r="BJ94" s="66"/>
      <c r="BK94" s="66"/>
      <c r="BL94" s="66"/>
      <c r="IR94" s="7">
        <f>AW94*0</f>
        <v>0</v>
      </c>
      <c r="IS94" s="7">
        <f>AW94*(1-0)</f>
        <v>0</v>
      </c>
    </row>
    <row r="95" spans="1:64" ht="12.75">
      <c r="A95" s="67" t="s">
        <v>6</v>
      </c>
      <c r="B95" s="68"/>
      <c r="C95" s="67" t="s">
        <v>163</v>
      </c>
      <c r="D95" s="68"/>
      <c r="E95" s="68"/>
      <c r="F95" s="68"/>
      <c r="G95" s="68"/>
      <c r="H95" s="68"/>
      <c r="I95" s="67" t="s">
        <v>236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7" t="s">
        <v>6</v>
      </c>
      <c r="AQ95" s="68"/>
      <c r="AR95" s="69" t="s">
        <v>6</v>
      </c>
      <c r="AS95" s="70"/>
      <c r="AT95" s="70"/>
      <c r="AU95" s="70"/>
      <c r="AV95" s="70"/>
      <c r="AW95" s="69" t="s">
        <v>6</v>
      </c>
      <c r="AX95" s="70"/>
      <c r="AY95" s="70"/>
      <c r="AZ95" s="70"/>
      <c r="BA95" s="70"/>
      <c r="BB95" s="70"/>
      <c r="BC95" s="70"/>
      <c r="BD95" s="70"/>
      <c r="BE95" s="75">
        <f>SUM(BE96:BE96)</f>
        <v>0</v>
      </c>
      <c r="BF95" s="70"/>
      <c r="BG95" s="70"/>
      <c r="BH95" s="70"/>
      <c r="BI95" s="70"/>
      <c r="BJ95" s="70"/>
      <c r="BK95" s="70"/>
      <c r="BL95" s="70"/>
    </row>
    <row r="96" spans="1:253" ht="12.75">
      <c r="A96" s="73" t="s">
        <v>67</v>
      </c>
      <c r="B96" s="74"/>
      <c r="C96" s="73" t="s">
        <v>164</v>
      </c>
      <c r="D96" s="74"/>
      <c r="E96" s="74"/>
      <c r="F96" s="74"/>
      <c r="G96" s="74"/>
      <c r="H96" s="74"/>
      <c r="I96" s="73" t="s">
        <v>264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3" t="s">
        <v>296</v>
      </c>
      <c r="AQ96" s="74"/>
      <c r="AR96" s="65">
        <v>0.6382</v>
      </c>
      <c r="AS96" s="66"/>
      <c r="AT96" s="66"/>
      <c r="AU96" s="66"/>
      <c r="AV96" s="66"/>
      <c r="AW96" s="65"/>
      <c r="AX96" s="66"/>
      <c r="AY96" s="66"/>
      <c r="AZ96" s="66"/>
      <c r="BA96" s="66"/>
      <c r="BB96" s="66"/>
      <c r="BC96" s="66"/>
      <c r="BD96" s="66"/>
      <c r="BE96" s="65">
        <f>IR96*AR96+IS96*AR96</f>
        <v>0</v>
      </c>
      <c r="BF96" s="66"/>
      <c r="BG96" s="66"/>
      <c r="BH96" s="66"/>
      <c r="BI96" s="66"/>
      <c r="BJ96" s="66"/>
      <c r="BK96" s="66"/>
      <c r="BL96" s="66"/>
      <c r="IR96" s="7">
        <f>AW96*0</f>
        <v>0</v>
      </c>
      <c r="IS96" s="7">
        <f>AW96*(1-0)</f>
        <v>0</v>
      </c>
    </row>
    <row r="97" spans="1:64" ht="12.75">
      <c r="A97" s="67" t="s">
        <v>6</v>
      </c>
      <c r="B97" s="68"/>
      <c r="C97" s="67" t="s">
        <v>165</v>
      </c>
      <c r="D97" s="68"/>
      <c r="E97" s="68"/>
      <c r="F97" s="68"/>
      <c r="G97" s="68"/>
      <c r="H97" s="68"/>
      <c r="I97" s="67" t="s">
        <v>265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7" t="s">
        <v>6</v>
      </c>
      <c r="AQ97" s="68"/>
      <c r="AR97" s="69" t="s">
        <v>6</v>
      </c>
      <c r="AS97" s="70"/>
      <c r="AT97" s="70"/>
      <c r="AU97" s="70"/>
      <c r="AV97" s="70"/>
      <c r="AW97" s="69" t="s">
        <v>6</v>
      </c>
      <c r="AX97" s="70"/>
      <c r="AY97" s="70"/>
      <c r="AZ97" s="70"/>
      <c r="BA97" s="70"/>
      <c r="BB97" s="70"/>
      <c r="BC97" s="70"/>
      <c r="BD97" s="70"/>
      <c r="BE97" s="75">
        <f>SUM(BE98:BE98)</f>
        <v>0</v>
      </c>
      <c r="BF97" s="70"/>
      <c r="BG97" s="70"/>
      <c r="BH97" s="70"/>
      <c r="BI97" s="70"/>
      <c r="BJ97" s="70"/>
      <c r="BK97" s="70"/>
      <c r="BL97" s="70"/>
    </row>
    <row r="98" spans="1:253" ht="12.75">
      <c r="A98" s="73" t="s">
        <v>68</v>
      </c>
      <c r="B98" s="74"/>
      <c r="C98" s="73" t="s">
        <v>166</v>
      </c>
      <c r="D98" s="74"/>
      <c r="E98" s="74"/>
      <c r="F98" s="74"/>
      <c r="G98" s="74"/>
      <c r="H98" s="74"/>
      <c r="I98" s="73" t="s">
        <v>266</v>
      </c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3" t="s">
        <v>296</v>
      </c>
      <c r="AQ98" s="74"/>
      <c r="AR98" s="65">
        <v>2.76344</v>
      </c>
      <c r="AS98" s="66"/>
      <c r="AT98" s="66"/>
      <c r="AU98" s="66"/>
      <c r="AV98" s="66"/>
      <c r="AW98" s="65"/>
      <c r="AX98" s="66"/>
      <c r="AY98" s="66"/>
      <c r="AZ98" s="66"/>
      <c r="BA98" s="66"/>
      <c r="BB98" s="66"/>
      <c r="BC98" s="66"/>
      <c r="BD98" s="66"/>
      <c r="BE98" s="65">
        <f>IR98*AR98+IS98*AR98</f>
        <v>0</v>
      </c>
      <c r="BF98" s="66"/>
      <c r="BG98" s="66"/>
      <c r="BH98" s="66"/>
      <c r="BI98" s="66"/>
      <c r="BJ98" s="66"/>
      <c r="BK98" s="66"/>
      <c r="BL98" s="66"/>
      <c r="IR98" s="7">
        <f>AW98*0</f>
        <v>0</v>
      </c>
      <c r="IS98" s="7">
        <f>AW98*(1-0)</f>
        <v>0</v>
      </c>
    </row>
    <row r="99" spans="1:64" ht="12.75">
      <c r="A99" s="67" t="s">
        <v>6</v>
      </c>
      <c r="B99" s="68"/>
      <c r="C99" s="67" t="s">
        <v>167</v>
      </c>
      <c r="D99" s="68"/>
      <c r="E99" s="68"/>
      <c r="F99" s="68"/>
      <c r="G99" s="68"/>
      <c r="H99" s="68"/>
      <c r="I99" s="67" t="s">
        <v>267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7" t="s">
        <v>6</v>
      </c>
      <c r="AQ99" s="68"/>
      <c r="AR99" s="69" t="s">
        <v>6</v>
      </c>
      <c r="AS99" s="70"/>
      <c r="AT99" s="70"/>
      <c r="AU99" s="70"/>
      <c r="AV99" s="70"/>
      <c r="AW99" s="69" t="s">
        <v>6</v>
      </c>
      <c r="AX99" s="70"/>
      <c r="AY99" s="70"/>
      <c r="AZ99" s="70"/>
      <c r="BA99" s="70"/>
      <c r="BB99" s="70"/>
      <c r="BC99" s="70"/>
      <c r="BD99" s="70"/>
      <c r="BE99" s="75">
        <f>SUM(BE100:BE101)</f>
        <v>0</v>
      </c>
      <c r="BF99" s="70"/>
      <c r="BG99" s="70"/>
      <c r="BH99" s="70"/>
      <c r="BI99" s="70"/>
      <c r="BJ99" s="70"/>
      <c r="BK99" s="70"/>
      <c r="BL99" s="70"/>
    </row>
    <row r="100" spans="1:253" ht="12.75">
      <c r="A100" s="73" t="s">
        <v>69</v>
      </c>
      <c r="B100" s="74"/>
      <c r="C100" s="73" t="s">
        <v>168</v>
      </c>
      <c r="D100" s="74"/>
      <c r="E100" s="74"/>
      <c r="F100" s="74"/>
      <c r="G100" s="74"/>
      <c r="H100" s="74"/>
      <c r="I100" s="73" t="s">
        <v>268</v>
      </c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3" t="s">
        <v>290</v>
      </c>
      <c r="AQ100" s="74"/>
      <c r="AR100" s="65">
        <v>3</v>
      </c>
      <c r="AS100" s="66"/>
      <c r="AT100" s="66"/>
      <c r="AU100" s="66"/>
      <c r="AV100" s="66"/>
      <c r="AW100" s="65"/>
      <c r="AX100" s="66"/>
      <c r="AY100" s="66"/>
      <c r="AZ100" s="66"/>
      <c r="BA100" s="66"/>
      <c r="BB100" s="66"/>
      <c r="BC100" s="66"/>
      <c r="BD100" s="66"/>
      <c r="BE100" s="65">
        <f>IR100*AR100+IS100*AR100</f>
        <v>0</v>
      </c>
      <c r="BF100" s="66"/>
      <c r="BG100" s="66"/>
      <c r="BH100" s="66"/>
      <c r="BI100" s="66"/>
      <c r="BJ100" s="66"/>
      <c r="BK100" s="66"/>
      <c r="BL100" s="66"/>
      <c r="IR100" s="7">
        <f>AW100*0</f>
        <v>0</v>
      </c>
      <c r="IS100" s="7">
        <f>AW100*(1-0)</f>
        <v>0</v>
      </c>
    </row>
    <row r="101" spans="1:253" ht="12.75">
      <c r="A101" s="73" t="s">
        <v>70</v>
      </c>
      <c r="B101" s="74"/>
      <c r="C101" s="73" t="s">
        <v>169</v>
      </c>
      <c r="D101" s="74"/>
      <c r="E101" s="74"/>
      <c r="F101" s="74"/>
      <c r="G101" s="74"/>
      <c r="H101" s="74"/>
      <c r="I101" s="73" t="s">
        <v>269</v>
      </c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3" t="s">
        <v>293</v>
      </c>
      <c r="AQ101" s="74"/>
      <c r="AR101" s="65">
        <v>1</v>
      </c>
      <c r="AS101" s="66"/>
      <c r="AT101" s="66"/>
      <c r="AU101" s="66"/>
      <c r="AV101" s="66"/>
      <c r="AW101" s="65"/>
      <c r="AX101" s="66"/>
      <c r="AY101" s="66"/>
      <c r="AZ101" s="66"/>
      <c r="BA101" s="66"/>
      <c r="BB101" s="66"/>
      <c r="BC101" s="66"/>
      <c r="BD101" s="66"/>
      <c r="BE101" s="65">
        <f>IR101*AR101+IS101*AR101</f>
        <v>0</v>
      </c>
      <c r="BF101" s="66"/>
      <c r="BG101" s="66"/>
      <c r="BH101" s="66"/>
      <c r="BI101" s="66"/>
      <c r="BJ101" s="66"/>
      <c r="BK101" s="66"/>
      <c r="BL101" s="66"/>
      <c r="IR101" s="7">
        <f>AW101*0.104898095238095</f>
        <v>0</v>
      </c>
      <c r="IS101" s="7">
        <f>AW101*(1-0.104898095238095)</f>
        <v>0</v>
      </c>
    </row>
    <row r="102" spans="1:64" ht="12.75">
      <c r="A102" s="67" t="s">
        <v>6</v>
      </c>
      <c r="B102" s="68"/>
      <c r="C102" s="67" t="s">
        <v>170</v>
      </c>
      <c r="D102" s="68"/>
      <c r="E102" s="68"/>
      <c r="F102" s="68"/>
      <c r="G102" s="68"/>
      <c r="H102" s="68"/>
      <c r="I102" s="67" t="s">
        <v>270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7" t="s">
        <v>6</v>
      </c>
      <c r="AQ102" s="68"/>
      <c r="AR102" s="69" t="s">
        <v>6</v>
      </c>
      <c r="AS102" s="70"/>
      <c r="AT102" s="70"/>
      <c r="AU102" s="70"/>
      <c r="AV102" s="70"/>
      <c r="AW102" s="69" t="s">
        <v>6</v>
      </c>
      <c r="AX102" s="70"/>
      <c r="AY102" s="70"/>
      <c r="AZ102" s="70"/>
      <c r="BA102" s="70"/>
      <c r="BB102" s="70"/>
      <c r="BC102" s="70"/>
      <c r="BD102" s="70"/>
      <c r="BE102" s="75">
        <f>SUM(BE103:BE108)</f>
        <v>0</v>
      </c>
      <c r="BF102" s="70"/>
      <c r="BG102" s="70"/>
      <c r="BH102" s="70"/>
      <c r="BI102" s="70"/>
      <c r="BJ102" s="70"/>
      <c r="BK102" s="70"/>
      <c r="BL102" s="70"/>
    </row>
    <row r="103" spans="1:253" ht="12.75">
      <c r="A103" s="73" t="s">
        <v>71</v>
      </c>
      <c r="B103" s="74"/>
      <c r="C103" s="73" t="s">
        <v>171</v>
      </c>
      <c r="D103" s="74"/>
      <c r="E103" s="74"/>
      <c r="F103" s="74"/>
      <c r="G103" s="74"/>
      <c r="H103" s="74"/>
      <c r="I103" s="73" t="s">
        <v>271</v>
      </c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3" t="s">
        <v>296</v>
      </c>
      <c r="AQ103" s="74"/>
      <c r="AR103" s="65">
        <v>7.41692</v>
      </c>
      <c r="AS103" s="66"/>
      <c r="AT103" s="66"/>
      <c r="AU103" s="66"/>
      <c r="AV103" s="66"/>
      <c r="AW103" s="65"/>
      <c r="AX103" s="66"/>
      <c r="AY103" s="66"/>
      <c r="AZ103" s="66"/>
      <c r="BA103" s="66"/>
      <c r="BB103" s="66"/>
      <c r="BC103" s="66"/>
      <c r="BD103" s="66"/>
      <c r="BE103" s="65">
        <f aca="true" t="shared" si="2" ref="BE103:BE108">IR103*AR103+IS103*AR103</f>
        <v>0</v>
      </c>
      <c r="BF103" s="66"/>
      <c r="BG103" s="66"/>
      <c r="BH103" s="66"/>
      <c r="BI103" s="66"/>
      <c r="BJ103" s="66"/>
      <c r="BK103" s="66"/>
      <c r="BL103" s="66"/>
      <c r="IR103" s="7">
        <f aca="true" t="shared" si="3" ref="IR103:IR108">AW103*0</f>
        <v>0</v>
      </c>
      <c r="IS103" s="7">
        <f aca="true" t="shared" si="4" ref="IS103:IS108">AW103*(1-0)</f>
        <v>0</v>
      </c>
    </row>
    <row r="104" spans="1:253" ht="12.75">
      <c r="A104" s="73" t="s">
        <v>72</v>
      </c>
      <c r="B104" s="74"/>
      <c r="C104" s="73" t="s">
        <v>172</v>
      </c>
      <c r="D104" s="74"/>
      <c r="E104" s="74"/>
      <c r="F104" s="74"/>
      <c r="G104" s="74"/>
      <c r="H104" s="74"/>
      <c r="I104" s="73" t="s">
        <v>272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3" t="s">
        <v>296</v>
      </c>
      <c r="AQ104" s="74"/>
      <c r="AR104" s="65">
        <v>7.41692</v>
      </c>
      <c r="AS104" s="66"/>
      <c r="AT104" s="66"/>
      <c r="AU104" s="66"/>
      <c r="AV104" s="66"/>
      <c r="AW104" s="65"/>
      <c r="AX104" s="66"/>
      <c r="AY104" s="66"/>
      <c r="AZ104" s="66"/>
      <c r="BA104" s="66"/>
      <c r="BB104" s="66"/>
      <c r="BC104" s="66"/>
      <c r="BD104" s="66"/>
      <c r="BE104" s="65">
        <f t="shared" si="2"/>
        <v>0</v>
      </c>
      <c r="BF104" s="66"/>
      <c r="BG104" s="66"/>
      <c r="BH104" s="66"/>
      <c r="BI104" s="66"/>
      <c r="BJ104" s="66"/>
      <c r="BK104" s="66"/>
      <c r="BL104" s="66"/>
      <c r="IR104" s="7">
        <f t="shared" si="3"/>
        <v>0</v>
      </c>
      <c r="IS104" s="7">
        <f t="shared" si="4"/>
        <v>0</v>
      </c>
    </row>
    <row r="105" spans="1:253" ht="12.75">
      <c r="A105" s="73" t="s">
        <v>73</v>
      </c>
      <c r="B105" s="74"/>
      <c r="C105" s="73" t="s">
        <v>173</v>
      </c>
      <c r="D105" s="74"/>
      <c r="E105" s="74"/>
      <c r="F105" s="74"/>
      <c r="G105" s="74"/>
      <c r="H105" s="74"/>
      <c r="I105" s="73" t="s">
        <v>273</v>
      </c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3" t="s">
        <v>296</v>
      </c>
      <c r="AQ105" s="74"/>
      <c r="AR105" s="65">
        <v>7.41692</v>
      </c>
      <c r="AS105" s="66"/>
      <c r="AT105" s="66"/>
      <c r="AU105" s="66"/>
      <c r="AV105" s="66"/>
      <c r="AW105" s="65"/>
      <c r="AX105" s="66"/>
      <c r="AY105" s="66"/>
      <c r="AZ105" s="66"/>
      <c r="BA105" s="66"/>
      <c r="BB105" s="66"/>
      <c r="BC105" s="66"/>
      <c r="BD105" s="66"/>
      <c r="BE105" s="65">
        <f t="shared" si="2"/>
        <v>0</v>
      </c>
      <c r="BF105" s="66"/>
      <c r="BG105" s="66"/>
      <c r="BH105" s="66"/>
      <c r="BI105" s="66"/>
      <c r="BJ105" s="66"/>
      <c r="BK105" s="66"/>
      <c r="BL105" s="66"/>
      <c r="IR105" s="7">
        <f t="shared" si="3"/>
        <v>0</v>
      </c>
      <c r="IS105" s="7">
        <f t="shared" si="4"/>
        <v>0</v>
      </c>
    </row>
    <row r="106" spans="1:253" ht="12.75">
      <c r="A106" s="73" t="s">
        <v>74</v>
      </c>
      <c r="B106" s="74"/>
      <c r="C106" s="73" t="s">
        <v>174</v>
      </c>
      <c r="D106" s="74"/>
      <c r="E106" s="74"/>
      <c r="F106" s="74"/>
      <c r="G106" s="74"/>
      <c r="H106" s="74"/>
      <c r="I106" s="73" t="s">
        <v>274</v>
      </c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3" t="s">
        <v>296</v>
      </c>
      <c r="AQ106" s="74"/>
      <c r="AR106" s="65">
        <v>7.41692</v>
      </c>
      <c r="AS106" s="66"/>
      <c r="AT106" s="66"/>
      <c r="AU106" s="66"/>
      <c r="AV106" s="66"/>
      <c r="AW106" s="65"/>
      <c r="AX106" s="66"/>
      <c r="AY106" s="66"/>
      <c r="AZ106" s="66"/>
      <c r="BA106" s="66"/>
      <c r="BB106" s="66"/>
      <c r="BC106" s="66"/>
      <c r="BD106" s="66"/>
      <c r="BE106" s="65">
        <f t="shared" si="2"/>
        <v>0</v>
      </c>
      <c r="BF106" s="66"/>
      <c r="BG106" s="66"/>
      <c r="BH106" s="66"/>
      <c r="BI106" s="66"/>
      <c r="BJ106" s="66"/>
      <c r="BK106" s="66"/>
      <c r="BL106" s="66"/>
      <c r="IR106" s="7">
        <f t="shared" si="3"/>
        <v>0</v>
      </c>
      <c r="IS106" s="7">
        <f t="shared" si="4"/>
        <v>0</v>
      </c>
    </row>
    <row r="107" spans="1:253" ht="12.75">
      <c r="A107" s="73" t="s">
        <v>75</v>
      </c>
      <c r="B107" s="74"/>
      <c r="C107" s="73" t="s">
        <v>175</v>
      </c>
      <c r="D107" s="74"/>
      <c r="E107" s="74"/>
      <c r="F107" s="74"/>
      <c r="G107" s="74"/>
      <c r="H107" s="74"/>
      <c r="I107" s="73" t="s">
        <v>275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3" t="s">
        <v>296</v>
      </c>
      <c r="AQ107" s="74"/>
      <c r="AR107" s="65">
        <v>37.0846</v>
      </c>
      <c r="AS107" s="66"/>
      <c r="AT107" s="66"/>
      <c r="AU107" s="66"/>
      <c r="AV107" s="66"/>
      <c r="AW107" s="65"/>
      <c r="AX107" s="66"/>
      <c r="AY107" s="66"/>
      <c r="AZ107" s="66"/>
      <c r="BA107" s="66"/>
      <c r="BB107" s="66"/>
      <c r="BC107" s="66"/>
      <c r="BD107" s="66"/>
      <c r="BE107" s="65">
        <f t="shared" si="2"/>
        <v>0</v>
      </c>
      <c r="BF107" s="66"/>
      <c r="BG107" s="66"/>
      <c r="BH107" s="66"/>
      <c r="BI107" s="66"/>
      <c r="BJ107" s="66"/>
      <c r="BK107" s="66"/>
      <c r="BL107" s="66"/>
      <c r="IR107" s="7">
        <f t="shared" si="3"/>
        <v>0</v>
      </c>
      <c r="IS107" s="7">
        <f t="shared" si="4"/>
        <v>0</v>
      </c>
    </row>
    <row r="108" spans="1:253" ht="12.75">
      <c r="A108" s="73" t="s">
        <v>76</v>
      </c>
      <c r="B108" s="74"/>
      <c r="C108" s="73" t="s">
        <v>176</v>
      </c>
      <c r="D108" s="74"/>
      <c r="E108" s="74"/>
      <c r="F108" s="74"/>
      <c r="G108" s="74"/>
      <c r="H108" s="74"/>
      <c r="I108" s="73" t="s">
        <v>276</v>
      </c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3" t="s">
        <v>296</v>
      </c>
      <c r="AQ108" s="74"/>
      <c r="AR108" s="65">
        <v>7.41692</v>
      </c>
      <c r="AS108" s="66"/>
      <c r="AT108" s="66"/>
      <c r="AU108" s="66"/>
      <c r="AV108" s="66"/>
      <c r="AW108" s="65"/>
      <c r="AX108" s="66"/>
      <c r="AY108" s="66"/>
      <c r="AZ108" s="66"/>
      <c r="BA108" s="66"/>
      <c r="BB108" s="66"/>
      <c r="BC108" s="66"/>
      <c r="BD108" s="66"/>
      <c r="BE108" s="65">
        <f t="shared" si="2"/>
        <v>0</v>
      </c>
      <c r="BF108" s="66"/>
      <c r="BG108" s="66"/>
      <c r="BH108" s="66"/>
      <c r="BI108" s="66"/>
      <c r="BJ108" s="66"/>
      <c r="BK108" s="66"/>
      <c r="BL108" s="66"/>
      <c r="IR108" s="7">
        <f t="shared" si="3"/>
        <v>0</v>
      </c>
      <c r="IS108" s="7">
        <f t="shared" si="4"/>
        <v>0</v>
      </c>
    </row>
    <row r="109" spans="1:64" ht="12.75">
      <c r="A109" s="67" t="s">
        <v>6</v>
      </c>
      <c r="B109" s="68"/>
      <c r="C109" s="67"/>
      <c r="D109" s="68"/>
      <c r="E109" s="68"/>
      <c r="F109" s="68"/>
      <c r="G109" s="68"/>
      <c r="H109" s="68"/>
      <c r="I109" s="67" t="s">
        <v>277</v>
      </c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7" t="s">
        <v>6</v>
      </c>
      <c r="AQ109" s="68"/>
      <c r="AR109" s="69" t="s">
        <v>6</v>
      </c>
      <c r="AS109" s="70"/>
      <c r="AT109" s="70"/>
      <c r="AU109" s="70"/>
      <c r="AV109" s="70"/>
      <c r="AW109" s="69" t="s">
        <v>6</v>
      </c>
      <c r="AX109" s="70"/>
      <c r="AY109" s="70"/>
      <c r="AZ109" s="70"/>
      <c r="BA109" s="70"/>
      <c r="BB109" s="70"/>
      <c r="BC109" s="70"/>
      <c r="BD109" s="70"/>
      <c r="BE109" s="71">
        <f>SUM(BE110:BE116)</f>
        <v>0</v>
      </c>
      <c r="BF109" s="72"/>
      <c r="BG109" s="72"/>
      <c r="BH109" s="72"/>
      <c r="BI109" s="72"/>
      <c r="BJ109" s="72"/>
      <c r="BK109" s="72"/>
      <c r="BL109" s="72"/>
    </row>
    <row r="110" spans="1:253" ht="12.75">
      <c r="A110" s="63" t="s">
        <v>77</v>
      </c>
      <c r="B110" s="64"/>
      <c r="C110" s="63" t="s">
        <v>177</v>
      </c>
      <c r="D110" s="64"/>
      <c r="E110" s="64"/>
      <c r="F110" s="64"/>
      <c r="G110" s="64"/>
      <c r="H110" s="64"/>
      <c r="I110" s="63" t="s">
        <v>278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3" t="s">
        <v>291</v>
      </c>
      <c r="AQ110" s="64"/>
      <c r="AR110" s="57">
        <v>73</v>
      </c>
      <c r="AS110" s="58"/>
      <c r="AT110" s="58"/>
      <c r="AU110" s="58"/>
      <c r="AV110" s="58"/>
      <c r="AW110" s="57"/>
      <c r="AX110" s="58"/>
      <c r="AY110" s="58"/>
      <c r="AZ110" s="58"/>
      <c r="BA110" s="58"/>
      <c r="BB110" s="58"/>
      <c r="BC110" s="58"/>
      <c r="BD110" s="58"/>
      <c r="BE110" s="57">
        <f aca="true" t="shared" si="5" ref="BE110:BE116">IR110*AR110+IS110*AR110</f>
        <v>0</v>
      </c>
      <c r="BF110" s="58"/>
      <c r="BG110" s="58"/>
      <c r="BH110" s="58"/>
      <c r="BI110" s="58"/>
      <c r="BJ110" s="58"/>
      <c r="BK110" s="58"/>
      <c r="BL110" s="58"/>
      <c r="IR110" s="8">
        <f aca="true" t="shared" si="6" ref="IR110:IR116">AW110*1</f>
        <v>0</v>
      </c>
      <c r="IS110" s="8">
        <f aca="true" t="shared" si="7" ref="IS110:IS116">AW110*(1-1)</f>
        <v>0</v>
      </c>
    </row>
    <row r="111" spans="1:253" ht="12.75">
      <c r="A111" s="63" t="s">
        <v>78</v>
      </c>
      <c r="B111" s="64"/>
      <c r="C111" s="63" t="s">
        <v>178</v>
      </c>
      <c r="D111" s="64"/>
      <c r="E111" s="64"/>
      <c r="F111" s="64"/>
      <c r="G111" s="64"/>
      <c r="H111" s="64"/>
      <c r="I111" s="63" t="s">
        <v>279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3" t="s">
        <v>291</v>
      </c>
      <c r="AQ111" s="64"/>
      <c r="AR111" s="57">
        <v>19</v>
      </c>
      <c r="AS111" s="58"/>
      <c r="AT111" s="58"/>
      <c r="AU111" s="58"/>
      <c r="AV111" s="58"/>
      <c r="AW111" s="57"/>
      <c r="AX111" s="58"/>
      <c r="AY111" s="58"/>
      <c r="AZ111" s="58"/>
      <c r="BA111" s="58"/>
      <c r="BB111" s="58"/>
      <c r="BC111" s="58"/>
      <c r="BD111" s="58"/>
      <c r="BE111" s="57">
        <f t="shared" si="5"/>
        <v>0</v>
      </c>
      <c r="BF111" s="58"/>
      <c r="BG111" s="58"/>
      <c r="BH111" s="58"/>
      <c r="BI111" s="58"/>
      <c r="BJ111" s="58"/>
      <c r="BK111" s="58"/>
      <c r="BL111" s="58"/>
      <c r="IR111" s="8">
        <f t="shared" si="6"/>
        <v>0</v>
      </c>
      <c r="IS111" s="8">
        <f t="shared" si="7"/>
        <v>0</v>
      </c>
    </row>
    <row r="112" spans="1:253" ht="12.75">
      <c r="A112" s="63" t="s">
        <v>79</v>
      </c>
      <c r="B112" s="64"/>
      <c r="C112" s="63" t="s">
        <v>179</v>
      </c>
      <c r="D112" s="64"/>
      <c r="E112" s="64"/>
      <c r="F112" s="64"/>
      <c r="G112" s="64"/>
      <c r="H112" s="64"/>
      <c r="I112" s="63" t="s">
        <v>280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3" t="s">
        <v>290</v>
      </c>
      <c r="AQ112" s="64"/>
      <c r="AR112" s="57">
        <v>3</v>
      </c>
      <c r="AS112" s="58"/>
      <c r="AT112" s="58"/>
      <c r="AU112" s="58"/>
      <c r="AV112" s="58"/>
      <c r="AW112" s="57"/>
      <c r="AX112" s="58"/>
      <c r="AY112" s="58"/>
      <c r="AZ112" s="58"/>
      <c r="BA112" s="58"/>
      <c r="BB112" s="58"/>
      <c r="BC112" s="58"/>
      <c r="BD112" s="58"/>
      <c r="BE112" s="57">
        <f t="shared" si="5"/>
        <v>0</v>
      </c>
      <c r="BF112" s="58"/>
      <c r="BG112" s="58"/>
      <c r="BH112" s="58"/>
      <c r="BI112" s="58"/>
      <c r="BJ112" s="58"/>
      <c r="BK112" s="58"/>
      <c r="BL112" s="58"/>
      <c r="IR112" s="8">
        <f t="shared" si="6"/>
        <v>0</v>
      </c>
      <c r="IS112" s="8">
        <f t="shared" si="7"/>
        <v>0</v>
      </c>
    </row>
    <row r="113" spans="1:253" ht="12.75">
      <c r="A113" s="63" t="s">
        <v>80</v>
      </c>
      <c r="B113" s="64"/>
      <c r="C113" s="63" t="s">
        <v>180</v>
      </c>
      <c r="D113" s="64"/>
      <c r="E113" s="64"/>
      <c r="F113" s="64"/>
      <c r="G113" s="64"/>
      <c r="H113" s="64"/>
      <c r="I113" s="63" t="s">
        <v>281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3" t="s">
        <v>290</v>
      </c>
      <c r="AQ113" s="64"/>
      <c r="AR113" s="57">
        <v>1</v>
      </c>
      <c r="AS113" s="58"/>
      <c r="AT113" s="58"/>
      <c r="AU113" s="58"/>
      <c r="AV113" s="58"/>
      <c r="AW113" s="57"/>
      <c r="AX113" s="58"/>
      <c r="AY113" s="58"/>
      <c r="AZ113" s="58"/>
      <c r="BA113" s="58"/>
      <c r="BB113" s="58"/>
      <c r="BC113" s="58"/>
      <c r="BD113" s="58"/>
      <c r="BE113" s="57">
        <f t="shared" si="5"/>
        <v>0</v>
      </c>
      <c r="BF113" s="58"/>
      <c r="BG113" s="58"/>
      <c r="BH113" s="58"/>
      <c r="BI113" s="58"/>
      <c r="BJ113" s="58"/>
      <c r="BK113" s="58"/>
      <c r="BL113" s="58"/>
      <c r="IR113" s="8">
        <f t="shared" si="6"/>
        <v>0</v>
      </c>
      <c r="IS113" s="8">
        <f t="shared" si="7"/>
        <v>0</v>
      </c>
    </row>
    <row r="114" spans="1:253" ht="12.75">
      <c r="A114" s="63" t="s">
        <v>81</v>
      </c>
      <c r="B114" s="64"/>
      <c r="C114" s="63" t="s">
        <v>181</v>
      </c>
      <c r="D114" s="64"/>
      <c r="E114" s="64"/>
      <c r="F114" s="64"/>
      <c r="G114" s="64"/>
      <c r="H114" s="64"/>
      <c r="I114" s="63" t="s">
        <v>282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3" t="s">
        <v>290</v>
      </c>
      <c r="AQ114" s="64"/>
      <c r="AR114" s="57">
        <v>5</v>
      </c>
      <c r="AS114" s="58"/>
      <c r="AT114" s="58"/>
      <c r="AU114" s="58"/>
      <c r="AV114" s="58"/>
      <c r="AW114" s="57"/>
      <c r="AX114" s="58"/>
      <c r="AY114" s="58"/>
      <c r="AZ114" s="58"/>
      <c r="BA114" s="58"/>
      <c r="BB114" s="58"/>
      <c r="BC114" s="58"/>
      <c r="BD114" s="58"/>
      <c r="BE114" s="57">
        <f t="shared" si="5"/>
        <v>0</v>
      </c>
      <c r="BF114" s="58"/>
      <c r="BG114" s="58"/>
      <c r="BH114" s="58"/>
      <c r="BI114" s="58"/>
      <c r="BJ114" s="58"/>
      <c r="BK114" s="58"/>
      <c r="BL114" s="58"/>
      <c r="IR114" s="8">
        <f t="shared" si="6"/>
        <v>0</v>
      </c>
      <c r="IS114" s="8">
        <f t="shared" si="7"/>
        <v>0</v>
      </c>
    </row>
    <row r="115" spans="1:253" ht="12.75">
      <c r="A115" s="63" t="s">
        <v>82</v>
      </c>
      <c r="B115" s="64"/>
      <c r="C115" s="63" t="s">
        <v>182</v>
      </c>
      <c r="D115" s="64"/>
      <c r="E115" s="64"/>
      <c r="F115" s="64"/>
      <c r="G115" s="64"/>
      <c r="H115" s="64"/>
      <c r="I115" s="63" t="s">
        <v>283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3" t="s">
        <v>290</v>
      </c>
      <c r="AQ115" s="64"/>
      <c r="AR115" s="57">
        <v>2</v>
      </c>
      <c r="AS115" s="58"/>
      <c r="AT115" s="58"/>
      <c r="AU115" s="58"/>
      <c r="AV115" s="58"/>
      <c r="AW115" s="57"/>
      <c r="AX115" s="58"/>
      <c r="AY115" s="58"/>
      <c r="AZ115" s="58"/>
      <c r="BA115" s="58"/>
      <c r="BB115" s="58"/>
      <c r="BC115" s="58"/>
      <c r="BD115" s="58"/>
      <c r="BE115" s="57">
        <f t="shared" si="5"/>
        <v>0</v>
      </c>
      <c r="BF115" s="58"/>
      <c r="BG115" s="58"/>
      <c r="BH115" s="58"/>
      <c r="BI115" s="58"/>
      <c r="BJ115" s="58"/>
      <c r="BK115" s="58"/>
      <c r="BL115" s="58"/>
      <c r="IR115" s="8">
        <f t="shared" si="6"/>
        <v>0</v>
      </c>
      <c r="IS115" s="8">
        <f t="shared" si="7"/>
        <v>0</v>
      </c>
    </row>
    <row r="116" spans="1:253" ht="12.75">
      <c r="A116" s="63" t="s">
        <v>83</v>
      </c>
      <c r="B116" s="64"/>
      <c r="C116" s="63" t="s">
        <v>183</v>
      </c>
      <c r="D116" s="64"/>
      <c r="E116" s="64"/>
      <c r="F116" s="64"/>
      <c r="G116" s="64"/>
      <c r="H116" s="64"/>
      <c r="I116" s="63" t="s">
        <v>284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3" t="s">
        <v>290</v>
      </c>
      <c r="AQ116" s="64"/>
      <c r="AR116" s="57">
        <v>1</v>
      </c>
      <c r="AS116" s="58"/>
      <c r="AT116" s="58"/>
      <c r="AU116" s="58"/>
      <c r="AV116" s="58"/>
      <c r="AW116" s="57"/>
      <c r="AX116" s="58"/>
      <c r="AY116" s="58"/>
      <c r="AZ116" s="58"/>
      <c r="BA116" s="58"/>
      <c r="BB116" s="58"/>
      <c r="BC116" s="58"/>
      <c r="BD116" s="58"/>
      <c r="BE116" s="57">
        <f t="shared" si="5"/>
        <v>0</v>
      </c>
      <c r="BF116" s="58"/>
      <c r="BG116" s="58"/>
      <c r="BH116" s="58"/>
      <c r="BI116" s="58"/>
      <c r="BJ116" s="58"/>
      <c r="BK116" s="58"/>
      <c r="BL116" s="58"/>
      <c r="IR116" s="8">
        <f t="shared" si="6"/>
        <v>0</v>
      </c>
      <c r="IS116" s="8">
        <f t="shared" si="7"/>
        <v>0</v>
      </c>
    </row>
    <row r="118" spans="49:64" ht="12.75">
      <c r="AW118" s="59" t="s">
        <v>303</v>
      </c>
      <c r="AX118" s="60"/>
      <c r="AY118" s="60"/>
      <c r="AZ118" s="60"/>
      <c r="BA118" s="60"/>
      <c r="BB118" s="60"/>
      <c r="BC118" s="60"/>
      <c r="BD118" s="60"/>
      <c r="BE118" s="61">
        <f>BE11+BE14+BE17+BE19+BE26+BE28+BE31+BE37+BE39+BE47+BE49+BE54+BE58+BE62+BE66+BE68+BE74+BE76+BE82+BE85+BE87+BE89+BE91+BE93+BE95+BE97+BE99+BE102+BE109</f>
        <v>0</v>
      </c>
      <c r="BF118" s="62"/>
      <c r="BG118" s="62"/>
      <c r="BH118" s="62"/>
      <c r="BI118" s="62"/>
      <c r="BJ118" s="62"/>
      <c r="BK118" s="62"/>
      <c r="BL118" s="62"/>
    </row>
  </sheetData>
  <sheetProtection/>
  <mergeCells count="776">
    <mergeCell ref="A1:BL1"/>
    <mergeCell ref="A2:E3"/>
    <mergeCell ref="F2:AI3"/>
    <mergeCell ref="AJ2:AP3"/>
    <mergeCell ref="AQ2:AV3"/>
    <mergeCell ref="AW2:BC3"/>
    <mergeCell ref="BD2:BL3"/>
    <mergeCell ref="A4:E5"/>
    <mergeCell ref="F4:AI5"/>
    <mergeCell ref="AJ4:AP5"/>
    <mergeCell ref="AQ4:AV5"/>
    <mergeCell ref="AW4:BC5"/>
    <mergeCell ref="BD4:BL5"/>
    <mergeCell ref="A6:E7"/>
    <mergeCell ref="F6:AI7"/>
    <mergeCell ref="AJ6:AP7"/>
    <mergeCell ref="AQ6:AV7"/>
    <mergeCell ref="AW6:BC7"/>
    <mergeCell ref="BD6:BL7"/>
    <mergeCell ref="I10:AO10"/>
    <mergeCell ref="AP10:AQ10"/>
    <mergeCell ref="AR10:AV10"/>
    <mergeCell ref="AW10:BD10"/>
    <mergeCell ref="A8:E9"/>
    <mergeCell ref="F8:AI9"/>
    <mergeCell ref="AJ8:AP9"/>
    <mergeCell ref="AQ8:AV9"/>
    <mergeCell ref="AW8:BC9"/>
    <mergeCell ref="BD8:BL9"/>
    <mergeCell ref="BE10:BL10"/>
    <mergeCell ref="A11:B11"/>
    <mergeCell ref="C11:H11"/>
    <mergeCell ref="I11:AO11"/>
    <mergeCell ref="AP11:AQ11"/>
    <mergeCell ref="AR11:AV11"/>
    <mergeCell ref="AW11:BD11"/>
    <mergeCell ref="BE11:BL11"/>
    <mergeCell ref="A10:B10"/>
    <mergeCell ref="C10:H10"/>
    <mergeCell ref="AW13:BD13"/>
    <mergeCell ref="BE13:BL13"/>
    <mergeCell ref="A12:B12"/>
    <mergeCell ref="C12:H12"/>
    <mergeCell ref="I12:AO12"/>
    <mergeCell ref="AP12:AQ12"/>
    <mergeCell ref="AR12:AV12"/>
    <mergeCell ref="AW12:BD12"/>
    <mergeCell ref="I14:AO14"/>
    <mergeCell ref="AP14:AQ14"/>
    <mergeCell ref="AR14:AV14"/>
    <mergeCell ref="AW14:BD14"/>
    <mergeCell ref="BE12:BL12"/>
    <mergeCell ref="A13:B13"/>
    <mergeCell ref="C13:H13"/>
    <mergeCell ref="I13:AO13"/>
    <mergeCell ref="AP13:AQ13"/>
    <mergeCell ref="AR13:AV13"/>
    <mergeCell ref="BE14:BL14"/>
    <mergeCell ref="A15:B15"/>
    <mergeCell ref="C15:H15"/>
    <mergeCell ref="I15:AO15"/>
    <mergeCell ref="AP15:AQ15"/>
    <mergeCell ref="AR15:AV15"/>
    <mergeCell ref="AW15:BD15"/>
    <mergeCell ref="BE15:BL15"/>
    <mergeCell ref="A14:B14"/>
    <mergeCell ref="C14:H14"/>
    <mergeCell ref="AW17:BD17"/>
    <mergeCell ref="BE17:BL17"/>
    <mergeCell ref="A16:B16"/>
    <mergeCell ref="C16:H16"/>
    <mergeCell ref="I16:AO16"/>
    <mergeCell ref="AP16:AQ16"/>
    <mergeCell ref="AR16:AV16"/>
    <mergeCell ref="AW16:BD16"/>
    <mergeCell ref="I18:AO18"/>
    <mergeCell ref="AP18:AQ18"/>
    <mergeCell ref="AR18:AV18"/>
    <mergeCell ref="AW18:BD18"/>
    <mergeCell ref="BE16:BL16"/>
    <mergeCell ref="A17:B17"/>
    <mergeCell ref="C17:H17"/>
    <mergeCell ref="I17:AO17"/>
    <mergeCell ref="AP17:AQ17"/>
    <mergeCell ref="AR17:AV17"/>
    <mergeCell ref="BE18:BL18"/>
    <mergeCell ref="A19:B19"/>
    <mergeCell ref="C19:H19"/>
    <mergeCell ref="I19:AO19"/>
    <mergeCell ref="AP19:AQ19"/>
    <mergeCell ref="AR19:AV19"/>
    <mergeCell ref="AW19:BD19"/>
    <mergeCell ref="BE19:BL19"/>
    <mergeCell ref="A18:B18"/>
    <mergeCell ref="C18:H18"/>
    <mergeCell ref="AW21:BD21"/>
    <mergeCell ref="BE21:BL21"/>
    <mergeCell ref="A20:B20"/>
    <mergeCell ref="C20:H20"/>
    <mergeCell ref="I20:AO20"/>
    <mergeCell ref="AP20:AQ20"/>
    <mergeCell ref="AR20:AV20"/>
    <mergeCell ref="AW20:BD20"/>
    <mergeCell ref="I22:AO22"/>
    <mergeCell ref="AP22:AQ22"/>
    <mergeCell ref="AR22:AV22"/>
    <mergeCell ref="AW22:BD22"/>
    <mergeCell ref="BE20:BL20"/>
    <mergeCell ref="A21:B21"/>
    <mergeCell ref="C21:H21"/>
    <mergeCell ref="I21:AO21"/>
    <mergeCell ref="AP21:AQ21"/>
    <mergeCell ref="AR21:AV21"/>
    <mergeCell ref="BE22:BL22"/>
    <mergeCell ref="A23:B23"/>
    <mergeCell ref="C23:H23"/>
    <mergeCell ref="I23:AO23"/>
    <mergeCell ref="AP23:AQ23"/>
    <mergeCell ref="AR23:AV23"/>
    <mergeCell ref="AW23:BD23"/>
    <mergeCell ref="BE23:BL23"/>
    <mergeCell ref="A22:B22"/>
    <mergeCell ref="C22:H22"/>
    <mergeCell ref="AW25:BD25"/>
    <mergeCell ref="BE25:BL25"/>
    <mergeCell ref="A24:B24"/>
    <mergeCell ref="C24:H24"/>
    <mergeCell ref="I24:AO24"/>
    <mergeCell ref="AP24:AQ24"/>
    <mergeCell ref="AR24:AV24"/>
    <mergeCell ref="AW24:BD24"/>
    <mergeCell ref="I26:AO26"/>
    <mergeCell ref="AP26:AQ26"/>
    <mergeCell ref="AR26:AV26"/>
    <mergeCell ref="AW26:BD26"/>
    <mergeCell ref="BE24:BL24"/>
    <mergeCell ref="A25:B25"/>
    <mergeCell ref="C25:H25"/>
    <mergeCell ref="I25:AO25"/>
    <mergeCell ref="AP25:AQ25"/>
    <mergeCell ref="AR25:AV25"/>
    <mergeCell ref="BE26:BL26"/>
    <mergeCell ref="A27:B27"/>
    <mergeCell ref="C27:H27"/>
    <mergeCell ref="I27:AO27"/>
    <mergeCell ref="AP27:AQ27"/>
    <mergeCell ref="AR27:AV27"/>
    <mergeCell ref="AW27:BD27"/>
    <mergeCell ref="BE27:BL27"/>
    <mergeCell ref="A26:B26"/>
    <mergeCell ref="C26:H26"/>
    <mergeCell ref="AW29:BD29"/>
    <mergeCell ref="BE29:BL29"/>
    <mergeCell ref="A28:B28"/>
    <mergeCell ref="C28:H28"/>
    <mergeCell ref="I28:AO28"/>
    <mergeCell ref="AP28:AQ28"/>
    <mergeCell ref="AR28:AV28"/>
    <mergeCell ref="AW28:BD28"/>
    <mergeCell ref="I30:AO30"/>
    <mergeCell ref="AP30:AQ30"/>
    <mergeCell ref="AR30:AV30"/>
    <mergeCell ref="AW30:BD30"/>
    <mergeCell ref="BE28:BL28"/>
    <mergeCell ref="A29:B29"/>
    <mergeCell ref="C29:H29"/>
    <mergeCell ref="I29:AO29"/>
    <mergeCell ref="AP29:AQ29"/>
    <mergeCell ref="AR29:AV29"/>
    <mergeCell ref="BE30:BL30"/>
    <mergeCell ref="A31:B31"/>
    <mergeCell ref="C31:H31"/>
    <mergeCell ref="I31:AO31"/>
    <mergeCell ref="AP31:AQ31"/>
    <mergeCell ref="AR31:AV31"/>
    <mergeCell ref="AW31:BD31"/>
    <mergeCell ref="BE31:BL31"/>
    <mergeCell ref="A30:B30"/>
    <mergeCell ref="C30:H30"/>
    <mergeCell ref="AW33:BD33"/>
    <mergeCell ref="BE33:BL33"/>
    <mergeCell ref="A32:B32"/>
    <mergeCell ref="C32:H32"/>
    <mergeCell ref="I32:AO32"/>
    <mergeCell ref="AP32:AQ32"/>
    <mergeCell ref="AR32:AV32"/>
    <mergeCell ref="AW32:BD32"/>
    <mergeCell ref="I34:AO34"/>
    <mergeCell ref="AP34:AQ34"/>
    <mergeCell ref="AR34:AV34"/>
    <mergeCell ref="AW34:BD34"/>
    <mergeCell ref="BE32:BL32"/>
    <mergeCell ref="A33:B33"/>
    <mergeCell ref="C33:H33"/>
    <mergeCell ref="I33:AO33"/>
    <mergeCell ref="AP33:AQ33"/>
    <mergeCell ref="AR33:AV33"/>
    <mergeCell ref="BE34:BL34"/>
    <mergeCell ref="A35:B35"/>
    <mergeCell ref="C35:H35"/>
    <mergeCell ref="I35:AO35"/>
    <mergeCell ref="AP35:AQ35"/>
    <mergeCell ref="AR35:AV35"/>
    <mergeCell ref="AW35:BD35"/>
    <mergeCell ref="BE35:BL35"/>
    <mergeCell ref="A34:B34"/>
    <mergeCell ref="C34:H34"/>
    <mergeCell ref="AW37:BD37"/>
    <mergeCell ref="BE37:BL37"/>
    <mergeCell ref="A36:B36"/>
    <mergeCell ref="C36:H36"/>
    <mergeCell ref="I36:AO36"/>
    <mergeCell ref="AP36:AQ36"/>
    <mergeCell ref="AR36:AV36"/>
    <mergeCell ref="AW36:BD36"/>
    <mergeCell ref="I38:AO38"/>
    <mergeCell ref="AP38:AQ38"/>
    <mergeCell ref="AR38:AV38"/>
    <mergeCell ref="AW38:BD38"/>
    <mergeCell ref="BE36:BL36"/>
    <mergeCell ref="A37:B37"/>
    <mergeCell ref="C37:H37"/>
    <mergeCell ref="I37:AO37"/>
    <mergeCell ref="AP37:AQ37"/>
    <mergeCell ref="AR37:AV37"/>
    <mergeCell ref="BE38:BL38"/>
    <mergeCell ref="A39:B39"/>
    <mergeCell ref="C39:H39"/>
    <mergeCell ref="I39:AO39"/>
    <mergeCell ref="AP39:AQ39"/>
    <mergeCell ref="AR39:AV39"/>
    <mergeCell ref="AW39:BD39"/>
    <mergeCell ref="BE39:BL39"/>
    <mergeCell ref="A38:B38"/>
    <mergeCell ref="C38:H38"/>
    <mergeCell ref="AW41:BD41"/>
    <mergeCell ref="BE41:BL41"/>
    <mergeCell ref="A40:B40"/>
    <mergeCell ref="C40:H40"/>
    <mergeCell ref="I40:AO40"/>
    <mergeCell ref="AP40:AQ40"/>
    <mergeCell ref="AR40:AV40"/>
    <mergeCell ref="AW40:BD40"/>
    <mergeCell ref="I42:AO42"/>
    <mergeCell ref="AP42:AQ42"/>
    <mergeCell ref="AR42:AV42"/>
    <mergeCell ref="AW42:BD42"/>
    <mergeCell ref="BE40:BL40"/>
    <mergeCell ref="A41:B41"/>
    <mergeCell ref="C41:H41"/>
    <mergeCell ref="I41:AO41"/>
    <mergeCell ref="AP41:AQ41"/>
    <mergeCell ref="AR41:AV41"/>
    <mergeCell ref="BE42:BL42"/>
    <mergeCell ref="A43:B43"/>
    <mergeCell ref="C43:H43"/>
    <mergeCell ref="I43:AO43"/>
    <mergeCell ref="AP43:AQ43"/>
    <mergeCell ref="AR43:AV43"/>
    <mergeCell ref="AW43:BD43"/>
    <mergeCell ref="BE43:BL43"/>
    <mergeCell ref="A42:B42"/>
    <mergeCell ref="C42:H42"/>
    <mergeCell ref="AW45:BD45"/>
    <mergeCell ref="BE45:BL45"/>
    <mergeCell ref="A44:B44"/>
    <mergeCell ref="C44:H44"/>
    <mergeCell ref="I44:AO44"/>
    <mergeCell ref="AP44:AQ44"/>
    <mergeCell ref="AR44:AV44"/>
    <mergeCell ref="AW44:BD44"/>
    <mergeCell ref="I46:AO46"/>
    <mergeCell ref="AP46:AQ46"/>
    <mergeCell ref="AR46:AV46"/>
    <mergeCell ref="AW46:BD46"/>
    <mergeCell ref="BE44:BL44"/>
    <mergeCell ref="A45:B45"/>
    <mergeCell ref="C45:H45"/>
    <mergeCell ref="I45:AO45"/>
    <mergeCell ref="AP45:AQ45"/>
    <mergeCell ref="AR45:AV45"/>
    <mergeCell ref="BE46:BL46"/>
    <mergeCell ref="A47:B47"/>
    <mergeCell ref="C47:H47"/>
    <mergeCell ref="I47:AO47"/>
    <mergeCell ref="AP47:AQ47"/>
    <mergeCell ref="AR47:AV47"/>
    <mergeCell ref="AW47:BD47"/>
    <mergeCell ref="BE47:BL47"/>
    <mergeCell ref="A46:B46"/>
    <mergeCell ref="C46:H46"/>
    <mergeCell ref="AW49:BD49"/>
    <mergeCell ref="BE49:BL49"/>
    <mergeCell ref="A48:B48"/>
    <mergeCell ref="C48:H48"/>
    <mergeCell ref="I48:AO48"/>
    <mergeCell ref="AP48:AQ48"/>
    <mergeCell ref="AR48:AV48"/>
    <mergeCell ref="AW48:BD48"/>
    <mergeCell ref="I50:AO50"/>
    <mergeCell ref="AP50:AQ50"/>
    <mergeCell ref="AR50:AV50"/>
    <mergeCell ref="AW50:BD50"/>
    <mergeCell ref="BE48:BL48"/>
    <mergeCell ref="A49:B49"/>
    <mergeCell ref="C49:H49"/>
    <mergeCell ref="I49:AO49"/>
    <mergeCell ref="AP49:AQ49"/>
    <mergeCell ref="AR49:AV49"/>
    <mergeCell ref="BE50:BL50"/>
    <mergeCell ref="A51:B51"/>
    <mergeCell ref="C51:H51"/>
    <mergeCell ref="I51:AO51"/>
    <mergeCell ref="AP51:AQ51"/>
    <mergeCell ref="AR51:AV51"/>
    <mergeCell ref="AW51:BD51"/>
    <mergeCell ref="BE51:BL51"/>
    <mergeCell ref="A50:B50"/>
    <mergeCell ref="C50:H50"/>
    <mergeCell ref="AW53:BD53"/>
    <mergeCell ref="BE53:BL53"/>
    <mergeCell ref="A52:B52"/>
    <mergeCell ref="C52:H52"/>
    <mergeCell ref="I52:AO52"/>
    <mergeCell ref="AP52:AQ52"/>
    <mergeCell ref="AR52:AV52"/>
    <mergeCell ref="AW52:BD52"/>
    <mergeCell ref="I54:AO54"/>
    <mergeCell ref="AP54:AQ54"/>
    <mergeCell ref="AR54:AV54"/>
    <mergeCell ref="AW54:BD54"/>
    <mergeCell ref="BE52:BL52"/>
    <mergeCell ref="A53:B53"/>
    <mergeCell ref="C53:H53"/>
    <mergeCell ref="I53:AO53"/>
    <mergeCell ref="AP53:AQ53"/>
    <mergeCell ref="AR53:AV53"/>
    <mergeCell ref="BE54:BL54"/>
    <mergeCell ref="A55:B55"/>
    <mergeCell ref="C55:H55"/>
    <mergeCell ref="I55:AO55"/>
    <mergeCell ref="AP55:AQ55"/>
    <mergeCell ref="AR55:AV55"/>
    <mergeCell ref="AW55:BD55"/>
    <mergeCell ref="BE55:BL55"/>
    <mergeCell ref="A54:B54"/>
    <mergeCell ref="C54:H54"/>
    <mergeCell ref="AW57:BD57"/>
    <mergeCell ref="BE57:BL57"/>
    <mergeCell ref="A56:B56"/>
    <mergeCell ref="C56:H56"/>
    <mergeCell ref="I56:AO56"/>
    <mergeCell ref="AP56:AQ56"/>
    <mergeCell ref="AR56:AV56"/>
    <mergeCell ref="AW56:BD56"/>
    <mergeCell ref="I58:AO58"/>
    <mergeCell ref="AP58:AQ58"/>
    <mergeCell ref="AR58:AV58"/>
    <mergeCell ref="AW58:BD58"/>
    <mergeCell ref="BE56:BL56"/>
    <mergeCell ref="A57:B57"/>
    <mergeCell ref="C57:H57"/>
    <mergeCell ref="I57:AO57"/>
    <mergeCell ref="AP57:AQ57"/>
    <mergeCell ref="AR57:AV57"/>
    <mergeCell ref="BE58:BL58"/>
    <mergeCell ref="A59:B59"/>
    <mergeCell ref="C59:H59"/>
    <mergeCell ref="I59:AO59"/>
    <mergeCell ref="AP59:AQ59"/>
    <mergeCell ref="AR59:AV59"/>
    <mergeCell ref="AW59:BD59"/>
    <mergeCell ref="BE59:BL59"/>
    <mergeCell ref="A58:B58"/>
    <mergeCell ref="C58:H58"/>
    <mergeCell ref="AW61:BD61"/>
    <mergeCell ref="BE61:BL61"/>
    <mergeCell ref="A60:B60"/>
    <mergeCell ref="C60:H60"/>
    <mergeCell ref="I60:AO60"/>
    <mergeCell ref="AP60:AQ60"/>
    <mergeCell ref="AR60:AV60"/>
    <mergeCell ref="AW60:BD60"/>
    <mergeCell ref="I62:AO62"/>
    <mergeCell ref="AP62:AQ62"/>
    <mergeCell ref="AR62:AV62"/>
    <mergeCell ref="AW62:BD62"/>
    <mergeCell ref="BE60:BL60"/>
    <mergeCell ref="A61:B61"/>
    <mergeCell ref="C61:H61"/>
    <mergeCell ref="I61:AO61"/>
    <mergeCell ref="AP61:AQ61"/>
    <mergeCell ref="AR61:AV61"/>
    <mergeCell ref="BE62:BL62"/>
    <mergeCell ref="A63:B63"/>
    <mergeCell ref="C63:H63"/>
    <mergeCell ref="I63:AO63"/>
    <mergeCell ref="AP63:AQ63"/>
    <mergeCell ref="AR63:AV63"/>
    <mergeCell ref="AW63:BD63"/>
    <mergeCell ref="BE63:BL63"/>
    <mergeCell ref="A62:B62"/>
    <mergeCell ref="C62:H62"/>
    <mergeCell ref="AW65:BD65"/>
    <mergeCell ref="BE65:BL65"/>
    <mergeCell ref="A64:B64"/>
    <mergeCell ref="C64:H64"/>
    <mergeCell ref="I64:AO64"/>
    <mergeCell ref="AP64:AQ64"/>
    <mergeCell ref="AR64:AV64"/>
    <mergeCell ref="AW64:BD64"/>
    <mergeCell ref="I66:AO66"/>
    <mergeCell ref="AP66:AQ66"/>
    <mergeCell ref="AR66:AV66"/>
    <mergeCell ref="AW66:BD66"/>
    <mergeCell ref="BE64:BL64"/>
    <mergeCell ref="A65:B65"/>
    <mergeCell ref="C65:H65"/>
    <mergeCell ref="I65:AO65"/>
    <mergeCell ref="AP65:AQ65"/>
    <mergeCell ref="AR65:AV65"/>
    <mergeCell ref="BE66:BL66"/>
    <mergeCell ref="A67:B67"/>
    <mergeCell ref="C67:H67"/>
    <mergeCell ref="I67:AO67"/>
    <mergeCell ref="AP67:AQ67"/>
    <mergeCell ref="AR67:AV67"/>
    <mergeCell ref="AW67:BD67"/>
    <mergeCell ref="BE67:BL67"/>
    <mergeCell ref="A66:B66"/>
    <mergeCell ref="C66:H66"/>
    <mergeCell ref="AW69:BD69"/>
    <mergeCell ref="BE69:BL69"/>
    <mergeCell ref="A68:B68"/>
    <mergeCell ref="C68:H68"/>
    <mergeCell ref="I68:AO68"/>
    <mergeCell ref="AP68:AQ68"/>
    <mergeCell ref="AR68:AV68"/>
    <mergeCell ref="AW68:BD68"/>
    <mergeCell ref="I70:AO70"/>
    <mergeCell ref="AP70:AQ70"/>
    <mergeCell ref="AR70:AV70"/>
    <mergeCell ref="AW70:BD70"/>
    <mergeCell ref="BE68:BL68"/>
    <mergeCell ref="A69:B69"/>
    <mergeCell ref="C69:H69"/>
    <mergeCell ref="I69:AO69"/>
    <mergeCell ref="AP69:AQ69"/>
    <mergeCell ref="AR69:AV69"/>
    <mergeCell ref="BE70:BL70"/>
    <mergeCell ref="A71:B71"/>
    <mergeCell ref="C71:H71"/>
    <mergeCell ref="I71:AO71"/>
    <mergeCell ref="AP71:AQ71"/>
    <mergeCell ref="AR71:AV71"/>
    <mergeCell ref="AW71:BD71"/>
    <mergeCell ref="BE71:BL71"/>
    <mergeCell ref="A70:B70"/>
    <mergeCell ref="C70:H70"/>
    <mergeCell ref="AW73:BD73"/>
    <mergeCell ref="BE73:BL73"/>
    <mergeCell ref="A72:B72"/>
    <mergeCell ref="C72:H72"/>
    <mergeCell ref="I72:AO72"/>
    <mergeCell ref="AP72:AQ72"/>
    <mergeCell ref="AR72:AV72"/>
    <mergeCell ref="AW72:BD72"/>
    <mergeCell ref="I74:AO74"/>
    <mergeCell ref="AP74:AQ74"/>
    <mergeCell ref="AR74:AV74"/>
    <mergeCell ref="AW74:BD74"/>
    <mergeCell ref="BE72:BL72"/>
    <mergeCell ref="A73:B73"/>
    <mergeCell ref="C73:H73"/>
    <mergeCell ref="I73:AO73"/>
    <mergeCell ref="AP73:AQ73"/>
    <mergeCell ref="AR73:AV73"/>
    <mergeCell ref="BE74:BL74"/>
    <mergeCell ref="A75:B75"/>
    <mergeCell ref="C75:H75"/>
    <mergeCell ref="I75:AO75"/>
    <mergeCell ref="AP75:AQ75"/>
    <mergeCell ref="AR75:AV75"/>
    <mergeCell ref="AW75:BD75"/>
    <mergeCell ref="BE75:BL75"/>
    <mergeCell ref="A74:B74"/>
    <mergeCell ref="C74:H74"/>
    <mergeCell ref="AW77:BD77"/>
    <mergeCell ref="BE77:BL77"/>
    <mergeCell ref="A76:B76"/>
    <mergeCell ref="C76:H76"/>
    <mergeCell ref="I76:AO76"/>
    <mergeCell ref="AP76:AQ76"/>
    <mergeCell ref="AR76:AV76"/>
    <mergeCell ref="AW76:BD76"/>
    <mergeCell ref="I78:AO78"/>
    <mergeCell ref="AP78:AQ78"/>
    <mergeCell ref="AR78:AV78"/>
    <mergeCell ref="AW78:BD78"/>
    <mergeCell ref="BE76:BL76"/>
    <mergeCell ref="A77:B77"/>
    <mergeCell ref="C77:H77"/>
    <mergeCell ref="I77:AO77"/>
    <mergeCell ref="AP77:AQ77"/>
    <mergeCell ref="AR77:AV77"/>
    <mergeCell ref="BE78:BL78"/>
    <mergeCell ref="A79:B79"/>
    <mergeCell ref="C79:H79"/>
    <mergeCell ref="I79:AO79"/>
    <mergeCell ref="AP79:AQ79"/>
    <mergeCell ref="AR79:AV79"/>
    <mergeCell ref="AW79:BD79"/>
    <mergeCell ref="BE79:BL79"/>
    <mergeCell ref="A78:B78"/>
    <mergeCell ref="C78:H78"/>
    <mergeCell ref="AW81:BD81"/>
    <mergeCell ref="BE81:BL81"/>
    <mergeCell ref="A80:B80"/>
    <mergeCell ref="C80:H80"/>
    <mergeCell ref="I80:AO80"/>
    <mergeCell ref="AP80:AQ80"/>
    <mergeCell ref="AR80:AV80"/>
    <mergeCell ref="AW80:BD80"/>
    <mergeCell ref="I82:AO82"/>
    <mergeCell ref="AP82:AQ82"/>
    <mergeCell ref="AR82:AV82"/>
    <mergeCell ref="AW82:BD82"/>
    <mergeCell ref="BE80:BL80"/>
    <mergeCell ref="A81:B81"/>
    <mergeCell ref="C81:H81"/>
    <mergeCell ref="I81:AO81"/>
    <mergeCell ref="AP81:AQ81"/>
    <mergeCell ref="AR81:AV81"/>
    <mergeCell ref="BE82:BL82"/>
    <mergeCell ref="A83:B83"/>
    <mergeCell ref="C83:H83"/>
    <mergeCell ref="I83:AO83"/>
    <mergeCell ref="AP83:AQ83"/>
    <mergeCell ref="AR83:AV83"/>
    <mergeCell ref="AW83:BD83"/>
    <mergeCell ref="BE83:BL83"/>
    <mergeCell ref="A82:B82"/>
    <mergeCell ref="C82:H82"/>
    <mergeCell ref="AW85:BD85"/>
    <mergeCell ref="BE85:BL85"/>
    <mergeCell ref="A84:B84"/>
    <mergeCell ref="C84:H84"/>
    <mergeCell ref="I84:AO84"/>
    <mergeCell ref="AP84:AQ84"/>
    <mergeCell ref="AR84:AV84"/>
    <mergeCell ref="AW84:BD84"/>
    <mergeCell ref="I86:AO86"/>
    <mergeCell ref="AP86:AQ86"/>
    <mergeCell ref="AR86:AV86"/>
    <mergeCell ref="AW86:BD86"/>
    <mergeCell ref="BE84:BL84"/>
    <mergeCell ref="A85:B85"/>
    <mergeCell ref="C85:H85"/>
    <mergeCell ref="I85:AO85"/>
    <mergeCell ref="AP85:AQ85"/>
    <mergeCell ref="AR85:AV85"/>
    <mergeCell ref="BE86:BL86"/>
    <mergeCell ref="A87:B87"/>
    <mergeCell ref="C87:H87"/>
    <mergeCell ref="I87:AO87"/>
    <mergeCell ref="AP87:AQ87"/>
    <mergeCell ref="AR87:AV87"/>
    <mergeCell ref="AW87:BD87"/>
    <mergeCell ref="BE87:BL87"/>
    <mergeCell ref="A86:B86"/>
    <mergeCell ref="C86:H86"/>
    <mergeCell ref="AW89:BD89"/>
    <mergeCell ref="BE89:BL89"/>
    <mergeCell ref="A88:B88"/>
    <mergeCell ref="C88:H88"/>
    <mergeCell ref="I88:AO88"/>
    <mergeCell ref="AP88:AQ88"/>
    <mergeCell ref="AR88:AV88"/>
    <mergeCell ref="AW88:BD88"/>
    <mergeCell ref="I90:AO90"/>
    <mergeCell ref="AP90:AQ90"/>
    <mergeCell ref="AR90:AV90"/>
    <mergeCell ref="AW90:BD90"/>
    <mergeCell ref="BE88:BL88"/>
    <mergeCell ref="A89:B89"/>
    <mergeCell ref="C89:H89"/>
    <mergeCell ref="I89:AO89"/>
    <mergeCell ref="AP89:AQ89"/>
    <mergeCell ref="AR89:AV89"/>
    <mergeCell ref="BE90:BL90"/>
    <mergeCell ref="A91:B91"/>
    <mergeCell ref="C91:H91"/>
    <mergeCell ref="I91:AO91"/>
    <mergeCell ref="AP91:AQ91"/>
    <mergeCell ref="AR91:AV91"/>
    <mergeCell ref="AW91:BD91"/>
    <mergeCell ref="BE91:BL91"/>
    <mergeCell ref="A90:B90"/>
    <mergeCell ref="C90:H90"/>
    <mergeCell ref="AW93:BD93"/>
    <mergeCell ref="BE93:BL93"/>
    <mergeCell ref="A92:B92"/>
    <mergeCell ref="C92:H92"/>
    <mergeCell ref="I92:AO92"/>
    <mergeCell ref="AP92:AQ92"/>
    <mergeCell ref="AR92:AV92"/>
    <mergeCell ref="AW92:BD92"/>
    <mergeCell ref="I94:AO94"/>
    <mergeCell ref="AP94:AQ94"/>
    <mergeCell ref="AR94:AV94"/>
    <mergeCell ref="AW94:BD94"/>
    <mergeCell ref="BE92:BL92"/>
    <mergeCell ref="A93:B93"/>
    <mergeCell ref="C93:H93"/>
    <mergeCell ref="I93:AO93"/>
    <mergeCell ref="AP93:AQ93"/>
    <mergeCell ref="AR93:AV93"/>
    <mergeCell ref="BE94:BL94"/>
    <mergeCell ref="A95:B95"/>
    <mergeCell ref="C95:H95"/>
    <mergeCell ref="I95:AO95"/>
    <mergeCell ref="AP95:AQ95"/>
    <mergeCell ref="AR95:AV95"/>
    <mergeCell ref="AW95:BD95"/>
    <mergeCell ref="BE95:BL95"/>
    <mergeCell ref="A94:B94"/>
    <mergeCell ref="C94:H94"/>
    <mergeCell ref="AW97:BD97"/>
    <mergeCell ref="BE97:BL97"/>
    <mergeCell ref="A96:B96"/>
    <mergeCell ref="C96:H96"/>
    <mergeCell ref="I96:AO96"/>
    <mergeCell ref="AP96:AQ96"/>
    <mergeCell ref="AR96:AV96"/>
    <mergeCell ref="AW96:BD96"/>
    <mergeCell ref="I98:AO98"/>
    <mergeCell ref="AP98:AQ98"/>
    <mergeCell ref="AR98:AV98"/>
    <mergeCell ref="AW98:BD98"/>
    <mergeCell ref="BE96:BL96"/>
    <mergeCell ref="A97:B97"/>
    <mergeCell ref="C97:H97"/>
    <mergeCell ref="I97:AO97"/>
    <mergeCell ref="AP97:AQ97"/>
    <mergeCell ref="AR97:AV97"/>
    <mergeCell ref="BE98:BL98"/>
    <mergeCell ref="A99:B99"/>
    <mergeCell ref="C99:H99"/>
    <mergeCell ref="I99:AO99"/>
    <mergeCell ref="AP99:AQ99"/>
    <mergeCell ref="AR99:AV99"/>
    <mergeCell ref="AW99:BD99"/>
    <mergeCell ref="BE99:BL99"/>
    <mergeCell ref="A98:B98"/>
    <mergeCell ref="C98:H98"/>
    <mergeCell ref="AW101:BD101"/>
    <mergeCell ref="BE101:BL101"/>
    <mergeCell ref="A100:B100"/>
    <mergeCell ref="C100:H100"/>
    <mergeCell ref="I100:AO100"/>
    <mergeCell ref="AP100:AQ100"/>
    <mergeCell ref="AR100:AV100"/>
    <mergeCell ref="AW100:BD100"/>
    <mergeCell ref="I102:AO102"/>
    <mergeCell ref="AP102:AQ102"/>
    <mergeCell ref="AR102:AV102"/>
    <mergeCell ref="AW102:BD102"/>
    <mergeCell ref="BE100:BL100"/>
    <mergeCell ref="A101:B101"/>
    <mergeCell ref="C101:H101"/>
    <mergeCell ref="I101:AO101"/>
    <mergeCell ref="AP101:AQ101"/>
    <mergeCell ref="AR101:AV101"/>
    <mergeCell ref="BE102:BL102"/>
    <mergeCell ref="A103:B103"/>
    <mergeCell ref="C103:H103"/>
    <mergeCell ref="I103:AO103"/>
    <mergeCell ref="AP103:AQ103"/>
    <mergeCell ref="AR103:AV103"/>
    <mergeCell ref="AW103:BD103"/>
    <mergeCell ref="BE103:BL103"/>
    <mergeCell ref="A102:B102"/>
    <mergeCell ref="C102:H102"/>
    <mergeCell ref="AW105:BD105"/>
    <mergeCell ref="BE105:BL105"/>
    <mergeCell ref="A104:B104"/>
    <mergeCell ref="C104:H104"/>
    <mergeCell ref="I104:AO104"/>
    <mergeCell ref="AP104:AQ104"/>
    <mergeCell ref="AR104:AV104"/>
    <mergeCell ref="AW104:BD104"/>
    <mergeCell ref="I106:AO106"/>
    <mergeCell ref="AP106:AQ106"/>
    <mergeCell ref="AR106:AV106"/>
    <mergeCell ref="AW106:BD106"/>
    <mergeCell ref="BE104:BL104"/>
    <mergeCell ref="A105:B105"/>
    <mergeCell ref="C105:H105"/>
    <mergeCell ref="I105:AO105"/>
    <mergeCell ref="AP105:AQ105"/>
    <mergeCell ref="AR105:AV105"/>
    <mergeCell ref="BE106:BL106"/>
    <mergeCell ref="A107:B107"/>
    <mergeCell ref="C107:H107"/>
    <mergeCell ref="I107:AO107"/>
    <mergeCell ref="AP107:AQ107"/>
    <mergeCell ref="AR107:AV107"/>
    <mergeCell ref="AW107:BD107"/>
    <mergeCell ref="BE107:BL107"/>
    <mergeCell ref="A106:B106"/>
    <mergeCell ref="C106:H106"/>
    <mergeCell ref="AW109:BD109"/>
    <mergeCell ref="BE109:BL109"/>
    <mergeCell ref="A108:B108"/>
    <mergeCell ref="C108:H108"/>
    <mergeCell ref="I108:AO108"/>
    <mergeCell ref="AP108:AQ108"/>
    <mergeCell ref="AR108:AV108"/>
    <mergeCell ref="AW108:BD108"/>
    <mergeCell ref="I110:AO110"/>
    <mergeCell ref="AP110:AQ110"/>
    <mergeCell ref="AR110:AV110"/>
    <mergeCell ref="AW110:BD110"/>
    <mergeCell ref="BE108:BL108"/>
    <mergeCell ref="A109:B109"/>
    <mergeCell ref="C109:H109"/>
    <mergeCell ref="I109:AO109"/>
    <mergeCell ref="AP109:AQ109"/>
    <mergeCell ref="AR109:AV109"/>
    <mergeCell ref="BE110:BL110"/>
    <mergeCell ref="A111:B111"/>
    <mergeCell ref="C111:H111"/>
    <mergeCell ref="I111:AO111"/>
    <mergeCell ref="AP111:AQ111"/>
    <mergeCell ref="AR111:AV111"/>
    <mergeCell ref="AW111:BD111"/>
    <mergeCell ref="BE111:BL111"/>
    <mergeCell ref="A110:B110"/>
    <mergeCell ref="C110:H110"/>
    <mergeCell ref="AW113:BD113"/>
    <mergeCell ref="BE113:BL113"/>
    <mergeCell ref="A112:B112"/>
    <mergeCell ref="C112:H112"/>
    <mergeCell ref="I112:AO112"/>
    <mergeCell ref="AP112:AQ112"/>
    <mergeCell ref="AR112:AV112"/>
    <mergeCell ref="AW112:BD112"/>
    <mergeCell ref="I114:AO114"/>
    <mergeCell ref="AP114:AQ114"/>
    <mergeCell ref="AR114:AV114"/>
    <mergeCell ref="AW114:BD114"/>
    <mergeCell ref="BE112:BL112"/>
    <mergeCell ref="A113:B113"/>
    <mergeCell ref="C113:H113"/>
    <mergeCell ref="I113:AO113"/>
    <mergeCell ref="AP113:AQ113"/>
    <mergeCell ref="AR113:AV113"/>
    <mergeCell ref="BE114:BL114"/>
    <mergeCell ref="A115:B115"/>
    <mergeCell ref="C115:H115"/>
    <mergeCell ref="I115:AO115"/>
    <mergeCell ref="AP115:AQ115"/>
    <mergeCell ref="AR115:AV115"/>
    <mergeCell ref="AW115:BD115"/>
    <mergeCell ref="BE115:BL115"/>
    <mergeCell ref="A114:B114"/>
    <mergeCell ref="C114:H114"/>
    <mergeCell ref="BE116:BL116"/>
    <mergeCell ref="AW118:BD118"/>
    <mergeCell ref="BE118:BL118"/>
    <mergeCell ref="A116:B116"/>
    <mergeCell ref="C116:H116"/>
    <mergeCell ref="I116:AO116"/>
    <mergeCell ref="AP116:AQ116"/>
    <mergeCell ref="AR116:AV116"/>
    <mergeCell ref="AW116:BD116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L20" sqref="L2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9"/>
      <c r="C1" s="124" t="s">
        <v>321</v>
      </c>
      <c r="D1" s="95"/>
      <c r="E1" s="95"/>
      <c r="F1" s="95"/>
      <c r="G1" s="95"/>
      <c r="H1" s="95"/>
      <c r="I1" s="95"/>
    </row>
    <row r="2" spans="1:10" ht="12.75">
      <c r="A2" s="96" t="s">
        <v>1</v>
      </c>
      <c r="B2" s="97"/>
      <c r="C2" s="98" t="str">
        <f>'Stavební rozpočet'!D2</f>
        <v>Rekonstrukce sociálního zařízení 1.stupeň - 1NP</v>
      </c>
      <c r="D2" s="99"/>
      <c r="E2" s="101" t="s">
        <v>298</v>
      </c>
      <c r="F2" s="101" t="str">
        <f>'Stavební rozpočet'!I2</f>
        <v> </v>
      </c>
      <c r="G2" s="97"/>
      <c r="H2" s="101" t="s">
        <v>347</v>
      </c>
      <c r="I2" s="125"/>
      <c r="J2" s="5"/>
    </row>
    <row r="3" spans="1:10" ht="12.75">
      <c r="A3" s="93"/>
      <c r="B3" s="86"/>
      <c r="C3" s="60"/>
      <c r="D3" s="60"/>
      <c r="E3" s="86"/>
      <c r="F3" s="86"/>
      <c r="G3" s="86"/>
      <c r="H3" s="86"/>
      <c r="I3" s="91"/>
      <c r="J3" s="5"/>
    </row>
    <row r="4" spans="1:10" ht="12.75">
      <c r="A4" s="85" t="s">
        <v>2</v>
      </c>
      <c r="B4" s="86"/>
      <c r="C4" s="89" t="str">
        <f>'Stavební rozpočet'!D4</f>
        <v>ZŠ Nádražní</v>
      </c>
      <c r="D4" s="86"/>
      <c r="E4" s="89" t="s">
        <v>299</v>
      </c>
      <c r="F4" s="89" t="str">
        <f>'Stavební rozpočet'!I4</f>
        <v> </v>
      </c>
      <c r="G4" s="86"/>
      <c r="H4" s="89" t="s">
        <v>347</v>
      </c>
      <c r="I4" s="123"/>
      <c r="J4" s="5"/>
    </row>
    <row r="5" spans="1:10" ht="12.75">
      <c r="A5" s="93"/>
      <c r="B5" s="86"/>
      <c r="C5" s="86"/>
      <c r="D5" s="86"/>
      <c r="E5" s="86"/>
      <c r="F5" s="86"/>
      <c r="G5" s="86"/>
      <c r="H5" s="86"/>
      <c r="I5" s="91"/>
      <c r="J5" s="5"/>
    </row>
    <row r="6" spans="1:10" ht="12.75">
      <c r="A6" s="85" t="s">
        <v>3</v>
      </c>
      <c r="B6" s="86"/>
      <c r="C6" s="89" t="str">
        <f>'Stavební rozpočet'!D6</f>
        <v>Česká Třebová</v>
      </c>
      <c r="D6" s="86"/>
      <c r="E6" s="89" t="s">
        <v>300</v>
      </c>
      <c r="F6" s="89"/>
      <c r="G6" s="86"/>
      <c r="H6" s="89" t="s">
        <v>347</v>
      </c>
      <c r="I6" s="123"/>
      <c r="J6" s="5"/>
    </row>
    <row r="7" spans="1:10" ht="12.75">
      <c r="A7" s="93"/>
      <c r="B7" s="86"/>
      <c r="C7" s="86"/>
      <c r="D7" s="86"/>
      <c r="E7" s="86"/>
      <c r="F7" s="86"/>
      <c r="G7" s="86"/>
      <c r="H7" s="86"/>
      <c r="I7" s="91"/>
      <c r="J7" s="5"/>
    </row>
    <row r="8" spans="1:10" ht="12.75">
      <c r="A8" s="85" t="s">
        <v>286</v>
      </c>
      <c r="B8" s="86"/>
      <c r="C8" s="89" t="str">
        <f>'Stavební rozpočet'!G4</f>
        <v> </v>
      </c>
      <c r="D8" s="86"/>
      <c r="E8" s="89" t="s">
        <v>287</v>
      </c>
      <c r="F8" s="89" t="str">
        <f>'Stavební rozpočet'!G6</f>
        <v> </v>
      </c>
      <c r="G8" s="86"/>
      <c r="H8" s="90" t="s">
        <v>348</v>
      </c>
      <c r="I8" s="123" t="s">
        <v>83</v>
      </c>
      <c r="J8" s="5"/>
    </row>
    <row r="9" spans="1:10" ht="12.75">
      <c r="A9" s="93"/>
      <c r="B9" s="86"/>
      <c r="C9" s="86"/>
      <c r="D9" s="86"/>
      <c r="E9" s="86"/>
      <c r="F9" s="86"/>
      <c r="G9" s="86"/>
      <c r="H9" s="86"/>
      <c r="I9" s="91"/>
      <c r="J9" s="5"/>
    </row>
    <row r="10" spans="1:10" ht="12.75">
      <c r="A10" s="85" t="s">
        <v>4</v>
      </c>
      <c r="B10" s="86"/>
      <c r="C10" s="89" t="str">
        <f>'Stavební rozpočet'!D8</f>
        <v> </v>
      </c>
      <c r="D10" s="86"/>
      <c r="E10" s="89" t="s">
        <v>301</v>
      </c>
      <c r="F10" s="89"/>
      <c r="G10" s="86"/>
      <c r="H10" s="90" t="s">
        <v>349</v>
      </c>
      <c r="I10" s="122" t="str">
        <f>'Stavební rozpočet'!G8</f>
        <v>14.05.2019</v>
      </c>
      <c r="J10" s="5"/>
    </row>
    <row r="11" spans="1:10" ht="12.75">
      <c r="A11" s="87"/>
      <c r="B11" s="88"/>
      <c r="C11" s="88"/>
      <c r="D11" s="88"/>
      <c r="E11" s="88"/>
      <c r="F11" s="88"/>
      <c r="G11" s="88"/>
      <c r="H11" s="88"/>
      <c r="I11" s="92"/>
      <c r="J11" s="5"/>
    </row>
    <row r="12" spans="1:9" ht="23.25" customHeight="1">
      <c r="A12" s="118" t="s">
        <v>305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10" t="s">
        <v>306</v>
      </c>
      <c r="B13" s="120" t="s">
        <v>318</v>
      </c>
      <c r="C13" s="121"/>
      <c r="D13" s="10" t="s">
        <v>322</v>
      </c>
      <c r="E13" s="120" t="s">
        <v>332</v>
      </c>
      <c r="F13" s="121"/>
      <c r="G13" s="10" t="s">
        <v>333</v>
      </c>
      <c r="H13" s="120" t="s">
        <v>350</v>
      </c>
      <c r="I13" s="121"/>
      <c r="J13" s="5"/>
    </row>
    <row r="14" spans="1:10" ht="15" customHeight="1">
      <c r="A14" s="11" t="s">
        <v>307</v>
      </c>
      <c r="B14" s="16" t="s">
        <v>319</v>
      </c>
      <c r="C14" s="20">
        <f>SUM('Stavební rozpočet'!AB12:AB117)</f>
        <v>0</v>
      </c>
      <c r="D14" s="116" t="s">
        <v>323</v>
      </c>
      <c r="E14" s="117"/>
      <c r="F14" s="20">
        <v>0</v>
      </c>
      <c r="G14" s="116" t="s">
        <v>334</v>
      </c>
      <c r="H14" s="117"/>
      <c r="I14" s="20">
        <v>0</v>
      </c>
      <c r="J14" s="5"/>
    </row>
    <row r="15" spans="1:10" ht="15" customHeight="1">
      <c r="A15" s="12"/>
      <c r="B15" s="16" t="s">
        <v>320</v>
      </c>
      <c r="C15" s="20">
        <f>SUM('Stavební rozpočet'!AC12:AC117)</f>
        <v>0</v>
      </c>
      <c r="D15" s="116" t="s">
        <v>324</v>
      </c>
      <c r="E15" s="117"/>
      <c r="F15" s="20">
        <v>0</v>
      </c>
      <c r="G15" s="116" t="s">
        <v>335</v>
      </c>
      <c r="H15" s="117"/>
      <c r="I15" s="20">
        <v>0</v>
      </c>
      <c r="J15" s="5"/>
    </row>
    <row r="16" spans="1:10" ht="15" customHeight="1">
      <c r="A16" s="11" t="s">
        <v>308</v>
      </c>
      <c r="B16" s="16" t="s">
        <v>319</v>
      </c>
      <c r="C16" s="20">
        <f>SUM('Stavební rozpočet'!AD12:AD117)</f>
        <v>0</v>
      </c>
      <c r="D16" s="116" t="s">
        <v>325</v>
      </c>
      <c r="E16" s="117"/>
      <c r="F16" s="20">
        <v>0</v>
      </c>
      <c r="G16" s="116" t="s">
        <v>336</v>
      </c>
      <c r="H16" s="117"/>
      <c r="I16" s="20">
        <v>0</v>
      </c>
      <c r="J16" s="5"/>
    </row>
    <row r="17" spans="1:10" ht="15" customHeight="1">
      <c r="A17" s="12"/>
      <c r="B17" s="16" t="s">
        <v>320</v>
      </c>
      <c r="C17" s="20">
        <f>SUM('Stavební rozpočet'!AE12:AE117)</f>
        <v>0</v>
      </c>
      <c r="D17" s="116" t="s">
        <v>326</v>
      </c>
      <c r="E17" s="117"/>
      <c r="F17" s="20">
        <f>ROUND(C22*(6/100),2)</f>
        <v>0</v>
      </c>
      <c r="G17" s="116" t="s">
        <v>337</v>
      </c>
      <c r="H17" s="117"/>
      <c r="I17" s="20">
        <v>0</v>
      </c>
      <c r="J17" s="5"/>
    </row>
    <row r="18" spans="1:10" ht="15" customHeight="1">
      <c r="A18" s="11" t="s">
        <v>309</v>
      </c>
      <c r="B18" s="16" t="s">
        <v>319</v>
      </c>
      <c r="C18" s="20">
        <f>SUM('Stavební rozpočet'!AF12:AF117)</f>
        <v>0</v>
      </c>
      <c r="D18" s="116"/>
      <c r="E18" s="117"/>
      <c r="F18" s="21"/>
      <c r="G18" s="116" t="s">
        <v>338</v>
      </c>
      <c r="H18" s="117"/>
      <c r="I18" s="20">
        <v>0</v>
      </c>
      <c r="J18" s="5"/>
    </row>
    <row r="19" spans="1:10" ht="15" customHeight="1">
      <c r="A19" s="12"/>
      <c r="B19" s="16" t="s">
        <v>320</v>
      </c>
      <c r="C19" s="20">
        <f>SUM('Stavební rozpočet'!AG12:AG117)</f>
        <v>0</v>
      </c>
      <c r="D19" s="116"/>
      <c r="E19" s="117"/>
      <c r="F19" s="21"/>
      <c r="G19" s="116" t="s">
        <v>339</v>
      </c>
      <c r="H19" s="117"/>
      <c r="I19" s="20">
        <v>0</v>
      </c>
      <c r="J19" s="5"/>
    </row>
    <row r="20" spans="1:10" ht="15" customHeight="1">
      <c r="A20" s="114" t="s">
        <v>277</v>
      </c>
      <c r="B20" s="115"/>
      <c r="C20" s="20">
        <f>SUM('Stavební rozpočet'!AH12:AH117)</f>
        <v>0</v>
      </c>
      <c r="D20" s="116"/>
      <c r="E20" s="117"/>
      <c r="F20" s="21"/>
      <c r="G20" s="116"/>
      <c r="H20" s="117"/>
      <c r="I20" s="21"/>
      <c r="J20" s="5"/>
    </row>
    <row r="21" spans="1:10" ht="15" customHeight="1">
      <c r="A21" s="114" t="s">
        <v>310</v>
      </c>
      <c r="B21" s="115"/>
      <c r="C21" s="20">
        <f>SUM('Stavební rozpočet'!Z12:Z117)</f>
        <v>0</v>
      </c>
      <c r="D21" s="116"/>
      <c r="E21" s="117"/>
      <c r="F21" s="21"/>
      <c r="G21" s="116"/>
      <c r="H21" s="117"/>
      <c r="I21" s="21"/>
      <c r="J21" s="5"/>
    </row>
    <row r="22" spans="1:10" ht="16.5" customHeight="1">
      <c r="A22" s="114" t="s">
        <v>311</v>
      </c>
      <c r="B22" s="115"/>
      <c r="C22" s="20">
        <f>SUM(C14:C21)</f>
        <v>0</v>
      </c>
      <c r="D22" s="114" t="s">
        <v>327</v>
      </c>
      <c r="E22" s="115"/>
      <c r="F22" s="20">
        <f>SUM(F14:F21)</f>
        <v>0</v>
      </c>
      <c r="G22" s="114" t="s">
        <v>340</v>
      </c>
      <c r="H22" s="115"/>
      <c r="I22" s="20">
        <f>SUM(I14:I21)</f>
        <v>0</v>
      </c>
      <c r="J22" s="5"/>
    </row>
    <row r="23" spans="1:10" ht="15" customHeight="1">
      <c r="A23" s="13"/>
      <c r="B23" s="13"/>
      <c r="C23" s="18"/>
      <c r="D23" s="114" t="s">
        <v>328</v>
      </c>
      <c r="E23" s="115"/>
      <c r="F23" s="22">
        <v>0</v>
      </c>
      <c r="G23" s="114" t="s">
        <v>341</v>
      </c>
      <c r="H23" s="115"/>
      <c r="I23" s="20">
        <v>0</v>
      </c>
      <c r="J23" s="5"/>
    </row>
    <row r="24" spans="4:10" ht="15" customHeight="1">
      <c r="D24" s="13"/>
      <c r="E24" s="13"/>
      <c r="F24" s="23"/>
      <c r="G24" s="114" t="s">
        <v>342</v>
      </c>
      <c r="H24" s="115"/>
      <c r="I24" s="20">
        <v>0</v>
      </c>
      <c r="J24" s="5"/>
    </row>
    <row r="25" spans="6:10" ht="15" customHeight="1">
      <c r="F25" s="24"/>
      <c r="G25" s="114" t="s">
        <v>343</v>
      </c>
      <c r="H25" s="115"/>
      <c r="I25" s="20">
        <v>0</v>
      </c>
      <c r="J25" s="5"/>
    </row>
    <row r="26" spans="1:9" ht="12.75">
      <c r="A26" s="9"/>
      <c r="B26" s="9"/>
      <c r="C26" s="9"/>
      <c r="G26" s="13"/>
      <c r="H26" s="13"/>
      <c r="I26" s="13"/>
    </row>
    <row r="27" spans="1:9" ht="15" customHeight="1">
      <c r="A27" s="109" t="s">
        <v>312</v>
      </c>
      <c r="B27" s="110"/>
      <c r="C27" s="26">
        <f>SUM('Stavební rozpočet'!AJ12:AJ117)</f>
        <v>0</v>
      </c>
      <c r="D27" s="19"/>
      <c r="E27" s="9"/>
      <c r="F27" s="9"/>
      <c r="G27" s="9"/>
      <c r="H27" s="9"/>
      <c r="I27" s="9"/>
    </row>
    <row r="28" spans="1:10" ht="15" customHeight="1">
      <c r="A28" s="109" t="s">
        <v>313</v>
      </c>
      <c r="B28" s="110"/>
      <c r="C28" s="26">
        <f>SUM('Stavební rozpočet'!AK12:AK117)</f>
        <v>0</v>
      </c>
      <c r="D28" s="109" t="s">
        <v>329</v>
      </c>
      <c r="E28" s="110"/>
      <c r="F28" s="26">
        <f>ROUND(C28*(15/100),2)</f>
        <v>0</v>
      </c>
      <c r="G28" s="109" t="s">
        <v>344</v>
      </c>
      <c r="H28" s="110"/>
      <c r="I28" s="26">
        <f>SUM(C27:C29)</f>
        <v>0</v>
      </c>
      <c r="J28" s="5"/>
    </row>
    <row r="29" spans="1:10" ht="15" customHeight="1">
      <c r="A29" s="109" t="s">
        <v>314</v>
      </c>
      <c r="B29" s="110"/>
      <c r="C29" s="26">
        <f>SUM('Stavební rozpočet'!AL12:AL117)+(F22+I22+F23+I23+I24+I25)</f>
        <v>0</v>
      </c>
      <c r="D29" s="109" t="s">
        <v>330</v>
      </c>
      <c r="E29" s="110"/>
      <c r="F29" s="26">
        <f>ROUND(C29*(21/100),2)</f>
        <v>0</v>
      </c>
      <c r="G29" s="109" t="s">
        <v>345</v>
      </c>
      <c r="H29" s="110"/>
      <c r="I29" s="26">
        <f>SUM(F28:F29)+I28</f>
        <v>0</v>
      </c>
      <c r="J29" s="5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111" t="s">
        <v>315</v>
      </c>
      <c r="B31" s="112"/>
      <c r="C31" s="113"/>
      <c r="D31" s="111" t="s">
        <v>331</v>
      </c>
      <c r="E31" s="112"/>
      <c r="F31" s="113"/>
      <c r="G31" s="111" t="s">
        <v>346</v>
      </c>
      <c r="H31" s="112"/>
      <c r="I31" s="113"/>
      <c r="J31" s="25"/>
    </row>
    <row r="32" spans="1:10" ht="14.25" customHeight="1">
      <c r="A32" s="103"/>
      <c r="B32" s="104"/>
      <c r="C32" s="105"/>
      <c r="D32" s="103"/>
      <c r="E32" s="104"/>
      <c r="F32" s="105"/>
      <c r="G32" s="103"/>
      <c r="H32" s="104"/>
      <c r="I32" s="105"/>
      <c r="J32" s="25"/>
    </row>
    <row r="33" spans="1:10" ht="14.25" customHeight="1">
      <c r="A33" s="103"/>
      <c r="B33" s="104"/>
      <c r="C33" s="105"/>
      <c r="D33" s="103"/>
      <c r="E33" s="104"/>
      <c r="F33" s="105"/>
      <c r="G33" s="103"/>
      <c r="H33" s="104"/>
      <c r="I33" s="105"/>
      <c r="J33" s="25"/>
    </row>
    <row r="34" spans="1:10" ht="14.25" customHeight="1">
      <c r="A34" s="103"/>
      <c r="B34" s="104"/>
      <c r="C34" s="105"/>
      <c r="D34" s="103"/>
      <c r="E34" s="104"/>
      <c r="F34" s="105"/>
      <c r="G34" s="103"/>
      <c r="H34" s="104"/>
      <c r="I34" s="105"/>
      <c r="J34" s="25"/>
    </row>
    <row r="35" spans="1:10" ht="14.25" customHeight="1">
      <c r="A35" s="106" t="s">
        <v>316</v>
      </c>
      <c r="B35" s="107"/>
      <c r="C35" s="108"/>
      <c r="D35" s="106" t="s">
        <v>316</v>
      </c>
      <c r="E35" s="107"/>
      <c r="F35" s="108"/>
      <c r="G35" s="106" t="s">
        <v>316</v>
      </c>
      <c r="H35" s="107"/>
      <c r="I35" s="108"/>
      <c r="J35" s="25"/>
    </row>
    <row r="36" spans="1:9" ht="11.25" customHeight="1">
      <c r="A36" s="15" t="s">
        <v>317</v>
      </c>
      <c r="B36" s="17"/>
      <c r="C36" s="17"/>
      <c r="D36" s="17"/>
      <c r="E36" s="17"/>
      <c r="F36" s="17"/>
      <c r="G36" s="17"/>
      <c r="H36" s="17"/>
      <c r="I36" s="17"/>
    </row>
    <row r="37" spans="1:9" ht="12.75">
      <c r="A37" s="89"/>
      <c r="B37" s="86"/>
      <c r="C37" s="86"/>
      <c r="D37" s="86"/>
      <c r="E37" s="86"/>
      <c r="F37" s="86"/>
      <c r="G37" s="86"/>
      <c r="H37" s="86"/>
      <c r="I37" s="86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4.42187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2.75">
      <c r="A2" s="96" t="s">
        <v>1</v>
      </c>
      <c r="B2" s="97"/>
      <c r="C2" s="97"/>
      <c r="D2" s="98" t="s">
        <v>352</v>
      </c>
      <c r="E2" s="100" t="s">
        <v>285</v>
      </c>
      <c r="F2" s="97"/>
      <c r="G2" s="100" t="s">
        <v>6</v>
      </c>
      <c r="H2" s="101" t="s">
        <v>298</v>
      </c>
      <c r="I2" s="100" t="s">
        <v>361</v>
      </c>
      <c r="J2" s="97"/>
      <c r="K2" s="97"/>
      <c r="L2" s="97"/>
      <c r="M2" s="102"/>
      <c r="N2" s="5"/>
    </row>
    <row r="3" spans="1:14" ht="12.75">
      <c r="A3" s="93"/>
      <c r="B3" s="86"/>
      <c r="C3" s="86"/>
      <c r="D3" s="60"/>
      <c r="E3" s="86"/>
      <c r="F3" s="86"/>
      <c r="G3" s="86"/>
      <c r="H3" s="86"/>
      <c r="I3" s="86"/>
      <c r="J3" s="86"/>
      <c r="K3" s="86"/>
      <c r="L3" s="86"/>
      <c r="M3" s="91"/>
      <c r="N3" s="5"/>
    </row>
    <row r="4" spans="1:14" ht="12.75">
      <c r="A4" s="85" t="s">
        <v>2</v>
      </c>
      <c r="B4" s="86"/>
      <c r="C4" s="86"/>
      <c r="D4" s="89" t="s">
        <v>353</v>
      </c>
      <c r="E4" s="90" t="s">
        <v>286</v>
      </c>
      <c r="F4" s="86"/>
      <c r="G4" s="90" t="s">
        <v>6</v>
      </c>
      <c r="H4" s="89" t="s">
        <v>299</v>
      </c>
      <c r="I4" s="90" t="s">
        <v>361</v>
      </c>
      <c r="J4" s="86"/>
      <c r="K4" s="86"/>
      <c r="L4" s="86"/>
      <c r="M4" s="91"/>
      <c r="N4" s="5"/>
    </row>
    <row r="5" spans="1:14" ht="12.75">
      <c r="A5" s="9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91"/>
      <c r="N5" s="5"/>
    </row>
    <row r="6" spans="1:14" ht="12.75">
      <c r="A6" s="85" t="s">
        <v>3</v>
      </c>
      <c r="B6" s="86"/>
      <c r="C6" s="86"/>
      <c r="D6" s="89" t="s">
        <v>354</v>
      </c>
      <c r="E6" s="90" t="s">
        <v>287</v>
      </c>
      <c r="F6" s="86"/>
      <c r="G6" s="90" t="s">
        <v>6</v>
      </c>
      <c r="H6" s="89" t="s">
        <v>300</v>
      </c>
      <c r="I6" s="89" t="s">
        <v>362</v>
      </c>
      <c r="J6" s="86"/>
      <c r="K6" s="86"/>
      <c r="L6" s="86"/>
      <c r="M6" s="91"/>
      <c r="N6" s="5"/>
    </row>
    <row r="7" spans="1:14" ht="12.75">
      <c r="A7" s="93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91"/>
      <c r="N7" s="5"/>
    </row>
    <row r="8" spans="1:14" ht="12.75">
      <c r="A8" s="85" t="s">
        <v>4</v>
      </c>
      <c r="B8" s="86"/>
      <c r="C8" s="86"/>
      <c r="D8" s="89" t="s">
        <v>6</v>
      </c>
      <c r="E8" s="90" t="s">
        <v>288</v>
      </c>
      <c r="F8" s="86"/>
      <c r="G8" s="90" t="s">
        <v>356</v>
      </c>
      <c r="H8" s="89" t="s">
        <v>301</v>
      </c>
      <c r="I8" s="89" t="s">
        <v>363</v>
      </c>
      <c r="J8" s="86"/>
      <c r="K8" s="86"/>
      <c r="L8" s="86"/>
      <c r="M8" s="91"/>
      <c r="N8" s="5"/>
    </row>
    <row r="9" spans="1:14" ht="12.75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  <c r="N9" s="5"/>
    </row>
    <row r="10" spans="1:14" ht="12.75">
      <c r="A10" s="27" t="s">
        <v>5</v>
      </c>
      <c r="B10" s="33" t="s">
        <v>351</v>
      </c>
      <c r="C10" s="33" t="s">
        <v>84</v>
      </c>
      <c r="D10" s="33" t="s">
        <v>184</v>
      </c>
      <c r="E10" s="33" t="s">
        <v>289</v>
      </c>
      <c r="F10" s="38" t="s">
        <v>297</v>
      </c>
      <c r="G10" s="39" t="s">
        <v>357</v>
      </c>
      <c r="H10" s="126" t="s">
        <v>359</v>
      </c>
      <c r="I10" s="127"/>
      <c r="J10" s="128"/>
      <c r="K10" s="126" t="s">
        <v>365</v>
      </c>
      <c r="L10" s="128"/>
      <c r="M10" s="47" t="s">
        <v>367</v>
      </c>
      <c r="N10" s="25"/>
    </row>
    <row r="11" spans="1:62" ht="12.75">
      <c r="A11" s="28" t="s">
        <v>6</v>
      </c>
      <c r="B11" s="34" t="s">
        <v>6</v>
      </c>
      <c r="C11" s="34" t="s">
        <v>6</v>
      </c>
      <c r="D11" s="37" t="s">
        <v>355</v>
      </c>
      <c r="E11" s="34" t="s">
        <v>6</v>
      </c>
      <c r="F11" s="34" t="s">
        <v>6</v>
      </c>
      <c r="G11" s="40" t="s">
        <v>358</v>
      </c>
      <c r="H11" s="41" t="s">
        <v>360</v>
      </c>
      <c r="I11" s="42" t="s">
        <v>320</v>
      </c>
      <c r="J11" s="43" t="s">
        <v>364</v>
      </c>
      <c r="K11" s="41" t="s">
        <v>366</v>
      </c>
      <c r="L11" s="43" t="s">
        <v>364</v>
      </c>
      <c r="M11" s="48" t="s">
        <v>368</v>
      </c>
      <c r="N11" s="25"/>
      <c r="Z11" s="45" t="s">
        <v>371</v>
      </c>
      <c r="AA11" s="45" t="s">
        <v>372</v>
      </c>
      <c r="AB11" s="45" t="s">
        <v>373</v>
      </c>
      <c r="AC11" s="45" t="s">
        <v>374</v>
      </c>
      <c r="AD11" s="45" t="s">
        <v>375</v>
      </c>
      <c r="AE11" s="45" t="s">
        <v>376</v>
      </c>
      <c r="AF11" s="45" t="s">
        <v>377</v>
      </c>
      <c r="AG11" s="45" t="s">
        <v>378</v>
      </c>
      <c r="AH11" s="45" t="s">
        <v>379</v>
      </c>
      <c r="BH11" s="45" t="s">
        <v>421</v>
      </c>
      <c r="BI11" s="45" t="s">
        <v>422</v>
      </c>
      <c r="BJ11" s="45" t="s">
        <v>423</v>
      </c>
    </row>
    <row r="12" spans="1:47" ht="12.75">
      <c r="A12" s="29"/>
      <c r="B12" s="35"/>
      <c r="C12" s="35" t="s">
        <v>37</v>
      </c>
      <c r="D12" s="35" t="s">
        <v>185</v>
      </c>
      <c r="E12" s="29" t="s">
        <v>6</v>
      </c>
      <c r="F12" s="29" t="s">
        <v>6</v>
      </c>
      <c r="G12" s="29" t="s">
        <v>6</v>
      </c>
      <c r="H12" s="54">
        <f>SUM(H13:H14)</f>
        <v>0</v>
      </c>
      <c r="I12" s="54">
        <f>SUM(I13:I14)</f>
        <v>0</v>
      </c>
      <c r="J12" s="54">
        <f>SUM(J13:J14)</f>
        <v>0</v>
      </c>
      <c r="K12" s="44"/>
      <c r="L12" s="54">
        <f>SUM(L13:L14)</f>
        <v>0.09062</v>
      </c>
      <c r="M12" s="44"/>
      <c r="AI12" s="45"/>
      <c r="AS12" s="6">
        <f>SUM(AJ13:AJ14)</f>
        <v>0</v>
      </c>
      <c r="AT12" s="6">
        <f>SUM(AK13:AK14)</f>
        <v>0</v>
      </c>
      <c r="AU12" s="6">
        <f>SUM(AL13:AL14)</f>
        <v>0</v>
      </c>
    </row>
    <row r="13" spans="1:62" ht="12.75">
      <c r="A13" s="1" t="s">
        <v>7</v>
      </c>
      <c r="B13" s="1"/>
      <c r="C13" s="1" t="s">
        <v>85</v>
      </c>
      <c r="D13" s="1" t="s">
        <v>186</v>
      </c>
      <c r="E13" s="1" t="s">
        <v>290</v>
      </c>
      <c r="F13" s="3">
        <f>'Rozpočet - vybrané sloupce'!AR12</f>
        <v>3</v>
      </c>
      <c r="G13" s="3">
        <f>'Rozpočet - vybrané sloupce'!AW12</f>
        <v>0</v>
      </c>
      <c r="H13" s="3">
        <f>F13*AO13</f>
        <v>0</v>
      </c>
      <c r="I13" s="3">
        <f>F13*AP13</f>
        <v>0</v>
      </c>
      <c r="J13" s="3">
        <f>F13*G13</f>
        <v>0</v>
      </c>
      <c r="K13" s="3">
        <v>0.02177</v>
      </c>
      <c r="L13" s="3">
        <f>F13*K13</f>
        <v>0.06531</v>
      </c>
      <c r="M13" s="49" t="s">
        <v>369</v>
      </c>
      <c r="Z13" s="52">
        <f>IF(AQ13="5",BJ13,0)</f>
        <v>0</v>
      </c>
      <c r="AB13" s="52">
        <f>IF(AQ13="1",BH13,0)</f>
        <v>0</v>
      </c>
      <c r="AC13" s="52">
        <f>IF(AQ13="1",BI13,0)</f>
        <v>0</v>
      </c>
      <c r="AD13" s="52">
        <f>IF(AQ13="7",BH13,0)</f>
        <v>0</v>
      </c>
      <c r="AE13" s="52">
        <f>IF(AQ13="7",BI13,0)</f>
        <v>0</v>
      </c>
      <c r="AF13" s="52">
        <f>IF(AQ13="2",BH13,0)</f>
        <v>0</v>
      </c>
      <c r="AG13" s="52">
        <f>IF(AQ13="2",BI13,0)</f>
        <v>0</v>
      </c>
      <c r="AH13" s="52">
        <f>IF(AQ13="0",BJ13,0)</f>
        <v>0</v>
      </c>
      <c r="AI13" s="45"/>
      <c r="AJ13" s="3">
        <f>IF(AN13=0,J13,0)</f>
        <v>0</v>
      </c>
      <c r="AK13" s="3">
        <f>IF(AN13=15,J13,0)</f>
        <v>0</v>
      </c>
      <c r="AL13" s="3">
        <f>IF(AN13=21,J13,0)</f>
        <v>0</v>
      </c>
      <c r="AN13" s="52">
        <v>21</v>
      </c>
      <c r="AO13" s="52">
        <f>G13*0.633266998341625</f>
        <v>0</v>
      </c>
      <c r="AP13" s="52">
        <f>G13*(1-0.633266998341625)</f>
        <v>0</v>
      </c>
      <c r="AQ13" s="49" t="s">
        <v>7</v>
      </c>
      <c r="AV13" s="52">
        <f>AW13+AX13</f>
        <v>0</v>
      </c>
      <c r="AW13" s="52">
        <f>F13*AO13</f>
        <v>0</v>
      </c>
      <c r="AX13" s="52">
        <f>F13*AP13</f>
        <v>0</v>
      </c>
      <c r="AY13" s="53" t="s">
        <v>381</v>
      </c>
      <c r="AZ13" s="53" t="s">
        <v>410</v>
      </c>
      <c r="BA13" s="45" t="s">
        <v>420</v>
      </c>
      <c r="BC13" s="52">
        <f>AW13+AX13</f>
        <v>0</v>
      </c>
      <c r="BD13" s="52">
        <f>G13/(100-BE13)*100</f>
        <v>0</v>
      </c>
      <c r="BE13" s="52">
        <v>0</v>
      </c>
      <c r="BF13" s="52">
        <f>L13</f>
        <v>0.06531</v>
      </c>
      <c r="BH13" s="3">
        <f>F13*AO13</f>
        <v>0</v>
      </c>
      <c r="BI13" s="3">
        <f>F13*AP13</f>
        <v>0</v>
      </c>
      <c r="BJ13" s="3">
        <f>F13*G13</f>
        <v>0</v>
      </c>
    </row>
    <row r="14" spans="1:62" ht="12.75">
      <c r="A14" s="1" t="s">
        <v>8</v>
      </c>
      <c r="B14" s="1"/>
      <c r="C14" s="1" t="s">
        <v>86</v>
      </c>
      <c r="D14" s="1" t="s">
        <v>187</v>
      </c>
      <c r="E14" s="1" t="s">
        <v>290</v>
      </c>
      <c r="F14" s="3">
        <f>'Rozpočet - vybrané sloupce'!AR13</f>
        <v>1</v>
      </c>
      <c r="G14" s="3">
        <f>'Rozpočet - vybrané sloupce'!AW13</f>
        <v>0</v>
      </c>
      <c r="H14" s="3">
        <f>F14*AO14</f>
        <v>0</v>
      </c>
      <c r="I14" s="3">
        <f>F14*AP14</f>
        <v>0</v>
      </c>
      <c r="J14" s="3">
        <f>F14*G14</f>
        <v>0</v>
      </c>
      <c r="K14" s="3">
        <v>0.02531</v>
      </c>
      <c r="L14" s="3">
        <f>F14*K14</f>
        <v>0.02531</v>
      </c>
      <c r="M14" s="49" t="s">
        <v>369</v>
      </c>
      <c r="Z14" s="52">
        <f>IF(AQ14="5",BJ14,0)</f>
        <v>0</v>
      </c>
      <c r="AB14" s="52">
        <f>IF(AQ14="1",BH14,0)</f>
        <v>0</v>
      </c>
      <c r="AC14" s="52">
        <f>IF(AQ14="1",BI14,0)</f>
        <v>0</v>
      </c>
      <c r="AD14" s="52">
        <f>IF(AQ14="7",BH14,0)</f>
        <v>0</v>
      </c>
      <c r="AE14" s="52">
        <f>IF(AQ14="7",BI14,0)</f>
        <v>0</v>
      </c>
      <c r="AF14" s="52">
        <f>IF(AQ14="2",BH14,0)</f>
        <v>0</v>
      </c>
      <c r="AG14" s="52">
        <f>IF(AQ14="2",BI14,0)</f>
        <v>0</v>
      </c>
      <c r="AH14" s="52">
        <f>IF(AQ14="0",BJ14,0)</f>
        <v>0</v>
      </c>
      <c r="AI14" s="45"/>
      <c r="AJ14" s="3">
        <f>IF(AN14=0,J14,0)</f>
        <v>0</v>
      </c>
      <c r="AK14" s="3">
        <f>IF(AN14=15,J14,0)</f>
        <v>0</v>
      </c>
      <c r="AL14" s="3">
        <f>IF(AN14=21,J14,0)</f>
        <v>0</v>
      </c>
      <c r="AN14" s="52">
        <v>21</v>
      </c>
      <c r="AO14" s="52">
        <f>G14*0.68453637660485</f>
        <v>0</v>
      </c>
      <c r="AP14" s="52">
        <f>G14*(1-0.68453637660485)</f>
        <v>0</v>
      </c>
      <c r="AQ14" s="49" t="s">
        <v>7</v>
      </c>
      <c r="AV14" s="52">
        <f>AW14+AX14</f>
        <v>0</v>
      </c>
      <c r="AW14" s="52">
        <f>F14*AO14</f>
        <v>0</v>
      </c>
      <c r="AX14" s="52">
        <f>F14*AP14</f>
        <v>0</v>
      </c>
      <c r="AY14" s="53" t="s">
        <v>381</v>
      </c>
      <c r="AZ14" s="53" t="s">
        <v>410</v>
      </c>
      <c r="BA14" s="45" t="s">
        <v>420</v>
      </c>
      <c r="BC14" s="52">
        <f>AW14+AX14</f>
        <v>0</v>
      </c>
      <c r="BD14" s="52">
        <f>G14/(100-BE14)*100</f>
        <v>0</v>
      </c>
      <c r="BE14" s="52">
        <v>0</v>
      </c>
      <c r="BF14" s="52">
        <f>L14</f>
        <v>0.02531</v>
      </c>
      <c r="BH14" s="3">
        <f>F14*AO14</f>
        <v>0</v>
      </c>
      <c r="BI14" s="3">
        <f>F14*AP14</f>
        <v>0</v>
      </c>
      <c r="BJ14" s="3">
        <f>F14*G14</f>
        <v>0</v>
      </c>
    </row>
    <row r="15" spans="1:47" ht="12.75">
      <c r="A15" s="30"/>
      <c r="B15" s="36"/>
      <c r="C15" s="36" t="s">
        <v>40</v>
      </c>
      <c r="D15" s="36" t="s">
        <v>188</v>
      </c>
      <c r="E15" s="30" t="s">
        <v>6</v>
      </c>
      <c r="F15" s="30" t="s">
        <v>6</v>
      </c>
      <c r="G15" s="30" t="s">
        <v>6</v>
      </c>
      <c r="H15" s="6">
        <f>SUM(H16:H17)</f>
        <v>0</v>
      </c>
      <c r="I15" s="6">
        <f>SUM(I16:I17)</f>
        <v>0</v>
      </c>
      <c r="J15" s="6">
        <f>SUM(J16:J17)</f>
        <v>0</v>
      </c>
      <c r="K15" s="45"/>
      <c r="L15" s="6">
        <f>SUM(L16:L17)</f>
        <v>0.643408</v>
      </c>
      <c r="M15" s="45"/>
      <c r="AI15" s="45"/>
      <c r="AS15" s="6">
        <f>SUM(AJ16:AJ17)</f>
        <v>0</v>
      </c>
      <c r="AT15" s="6">
        <f>SUM(AK16:AK17)</f>
        <v>0</v>
      </c>
      <c r="AU15" s="6">
        <f>SUM(AL16:AL17)</f>
        <v>0</v>
      </c>
    </row>
    <row r="16" spans="1:62" ht="12.75">
      <c r="A16" s="1" t="s">
        <v>9</v>
      </c>
      <c r="B16" s="1"/>
      <c r="C16" s="1" t="s">
        <v>87</v>
      </c>
      <c r="D16" s="1" t="s">
        <v>189</v>
      </c>
      <c r="E16" s="1" t="s">
        <v>291</v>
      </c>
      <c r="F16" s="3">
        <f>'Rozpočet - vybrané sloupce'!AR15</f>
        <v>4</v>
      </c>
      <c r="G16" s="3">
        <f>'Rozpočet - vybrané sloupce'!AW15</f>
        <v>0</v>
      </c>
      <c r="H16" s="3">
        <f>F16*AO16</f>
        <v>0</v>
      </c>
      <c r="I16" s="3">
        <f>F16*AP16</f>
        <v>0</v>
      </c>
      <c r="J16" s="3">
        <f>F16*G16</f>
        <v>0</v>
      </c>
      <c r="K16" s="3">
        <v>0.1165</v>
      </c>
      <c r="L16" s="3">
        <f>F16*K16</f>
        <v>0.466</v>
      </c>
      <c r="M16" s="49" t="s">
        <v>369</v>
      </c>
      <c r="Z16" s="52">
        <f>IF(AQ16="5",BJ16,0)</f>
        <v>0</v>
      </c>
      <c r="AB16" s="52">
        <f>IF(AQ16="1",BH16,0)</f>
        <v>0</v>
      </c>
      <c r="AC16" s="52">
        <f>IF(AQ16="1",BI16,0)</f>
        <v>0</v>
      </c>
      <c r="AD16" s="52">
        <f>IF(AQ16="7",BH16,0)</f>
        <v>0</v>
      </c>
      <c r="AE16" s="52">
        <f>IF(AQ16="7",BI16,0)</f>
        <v>0</v>
      </c>
      <c r="AF16" s="52">
        <f>IF(AQ16="2",BH16,0)</f>
        <v>0</v>
      </c>
      <c r="AG16" s="52">
        <f>IF(AQ16="2",BI16,0)</f>
        <v>0</v>
      </c>
      <c r="AH16" s="52">
        <f>IF(AQ16="0",BJ16,0)</f>
        <v>0</v>
      </c>
      <c r="AI16" s="45"/>
      <c r="AJ16" s="3">
        <f>IF(AN16=0,J16,0)</f>
        <v>0</v>
      </c>
      <c r="AK16" s="3">
        <f>IF(AN16=15,J16,0)</f>
        <v>0</v>
      </c>
      <c r="AL16" s="3">
        <f>IF(AN16=21,J16,0)</f>
        <v>0</v>
      </c>
      <c r="AN16" s="52">
        <v>21</v>
      </c>
      <c r="AO16" s="52">
        <f>G16*0.449387755102041</f>
        <v>0</v>
      </c>
      <c r="AP16" s="52">
        <f>G16*(1-0.449387755102041)</f>
        <v>0</v>
      </c>
      <c r="AQ16" s="49" t="s">
        <v>7</v>
      </c>
      <c r="AV16" s="52">
        <f>AW16+AX16</f>
        <v>0</v>
      </c>
      <c r="AW16" s="52">
        <f>F16*AO16</f>
        <v>0</v>
      </c>
      <c r="AX16" s="52">
        <f>F16*AP16</f>
        <v>0</v>
      </c>
      <c r="AY16" s="53" t="s">
        <v>382</v>
      </c>
      <c r="AZ16" s="53" t="s">
        <v>410</v>
      </c>
      <c r="BA16" s="45" t="s">
        <v>420</v>
      </c>
      <c r="BC16" s="52">
        <f>AW16+AX16</f>
        <v>0</v>
      </c>
      <c r="BD16" s="52">
        <f>G16/(100-BE16)*100</f>
        <v>0</v>
      </c>
      <c r="BE16" s="52">
        <v>0</v>
      </c>
      <c r="BF16" s="52">
        <f>L16</f>
        <v>0.466</v>
      </c>
      <c r="BH16" s="3">
        <f>F16*AO16</f>
        <v>0</v>
      </c>
      <c r="BI16" s="3">
        <f>F16*AP16</f>
        <v>0</v>
      </c>
      <c r="BJ16" s="3">
        <f>F16*G16</f>
        <v>0</v>
      </c>
    </row>
    <row r="17" spans="1:62" ht="12.75">
      <c r="A17" s="1" t="s">
        <v>10</v>
      </c>
      <c r="B17" s="1"/>
      <c r="C17" s="1" t="s">
        <v>88</v>
      </c>
      <c r="D17" s="1" t="s">
        <v>190</v>
      </c>
      <c r="E17" s="1" t="s">
        <v>291</v>
      </c>
      <c r="F17" s="3">
        <f>'Rozpočet - vybrané sloupce'!AR16</f>
        <v>2.4</v>
      </c>
      <c r="G17" s="3">
        <f>'Rozpočet - vybrané sloupce'!AW16</f>
        <v>0</v>
      </c>
      <c r="H17" s="3">
        <f>F17*AO17</f>
        <v>0</v>
      </c>
      <c r="I17" s="3">
        <f>F17*AP17</f>
        <v>0</v>
      </c>
      <c r="J17" s="3">
        <f>F17*G17</f>
        <v>0</v>
      </c>
      <c r="K17" s="3">
        <v>0.07392</v>
      </c>
      <c r="L17" s="3">
        <f>F17*K17</f>
        <v>0.17740799999999998</v>
      </c>
      <c r="M17" s="49" t="s">
        <v>369</v>
      </c>
      <c r="Z17" s="52">
        <f>IF(AQ17="5",BJ17,0)</f>
        <v>0</v>
      </c>
      <c r="AB17" s="52">
        <f>IF(AQ17="1",BH17,0)</f>
        <v>0</v>
      </c>
      <c r="AC17" s="52">
        <f>IF(AQ17="1",BI17,0)</f>
        <v>0</v>
      </c>
      <c r="AD17" s="52">
        <f>IF(AQ17="7",BH17,0)</f>
        <v>0</v>
      </c>
      <c r="AE17" s="52">
        <f>IF(AQ17="7",BI17,0)</f>
        <v>0</v>
      </c>
      <c r="AF17" s="52">
        <f>IF(AQ17="2",BH17,0)</f>
        <v>0</v>
      </c>
      <c r="AG17" s="52">
        <f>IF(AQ17="2",BI17,0)</f>
        <v>0</v>
      </c>
      <c r="AH17" s="52">
        <f>IF(AQ17="0",BJ17,0)</f>
        <v>0</v>
      </c>
      <c r="AI17" s="45"/>
      <c r="AJ17" s="3">
        <f>IF(AN17=0,J17,0)</f>
        <v>0</v>
      </c>
      <c r="AK17" s="3">
        <f>IF(AN17=15,J17,0)</f>
        <v>0</v>
      </c>
      <c r="AL17" s="3">
        <f>IF(AN17=21,J17,0)</f>
        <v>0</v>
      </c>
      <c r="AN17" s="52">
        <v>21</v>
      </c>
      <c r="AO17" s="52">
        <f>G17*0.566947890818859</f>
        <v>0</v>
      </c>
      <c r="AP17" s="52">
        <f>G17*(1-0.566947890818859)</f>
        <v>0</v>
      </c>
      <c r="AQ17" s="49" t="s">
        <v>7</v>
      </c>
      <c r="AV17" s="52">
        <f>AW17+AX17</f>
        <v>0</v>
      </c>
      <c r="AW17" s="52">
        <f>F17*AO17</f>
        <v>0</v>
      </c>
      <c r="AX17" s="52">
        <f>F17*AP17</f>
        <v>0</v>
      </c>
      <c r="AY17" s="53" t="s">
        <v>382</v>
      </c>
      <c r="AZ17" s="53" t="s">
        <v>410</v>
      </c>
      <c r="BA17" s="45" t="s">
        <v>420</v>
      </c>
      <c r="BC17" s="52">
        <f>AW17+AX17</f>
        <v>0</v>
      </c>
      <c r="BD17" s="52">
        <f>G17/(100-BE17)*100</f>
        <v>0</v>
      </c>
      <c r="BE17" s="52">
        <v>0</v>
      </c>
      <c r="BF17" s="52">
        <f>L17</f>
        <v>0.17740799999999998</v>
      </c>
      <c r="BH17" s="3">
        <f>F17*AO17</f>
        <v>0</v>
      </c>
      <c r="BI17" s="3">
        <f>F17*AP17</f>
        <v>0</v>
      </c>
      <c r="BJ17" s="3">
        <f>F17*G17</f>
        <v>0</v>
      </c>
    </row>
    <row r="18" spans="1:47" ht="12.75">
      <c r="A18" s="30"/>
      <c r="B18" s="36"/>
      <c r="C18" s="36" t="s">
        <v>47</v>
      </c>
      <c r="D18" s="36" t="s">
        <v>191</v>
      </c>
      <c r="E18" s="30" t="s">
        <v>6</v>
      </c>
      <c r="F18" s="30" t="s">
        <v>6</v>
      </c>
      <c r="G18" s="30" t="s">
        <v>6</v>
      </c>
      <c r="H18" s="6">
        <f>SUM(H19:H19)</f>
        <v>0</v>
      </c>
      <c r="I18" s="6">
        <f>SUM(I19:I19)</f>
        <v>0</v>
      </c>
      <c r="J18" s="6">
        <f>SUM(J19:J19)</f>
        <v>0</v>
      </c>
      <c r="K18" s="45"/>
      <c r="L18" s="6">
        <f>SUM(L19:L19)</f>
        <v>0.19710812</v>
      </c>
      <c r="M18" s="45"/>
      <c r="AI18" s="45"/>
      <c r="AS18" s="6">
        <f>SUM(AJ19:AJ19)</f>
        <v>0</v>
      </c>
      <c r="AT18" s="6">
        <f>SUM(AK19:AK19)</f>
        <v>0</v>
      </c>
      <c r="AU18" s="6">
        <f>SUM(AL19:AL19)</f>
        <v>0</v>
      </c>
    </row>
    <row r="19" spans="1:62" ht="12.75">
      <c r="A19" s="1" t="s">
        <v>11</v>
      </c>
      <c r="B19" s="1"/>
      <c r="C19" s="1" t="s">
        <v>89</v>
      </c>
      <c r="D19" s="1" t="s">
        <v>192</v>
      </c>
      <c r="E19" s="1" t="s">
        <v>291</v>
      </c>
      <c r="F19" s="3">
        <f>'Rozpočet - vybrané sloupce'!AR18</f>
        <v>16.412</v>
      </c>
      <c r="G19" s="3">
        <f>'Rozpočet - vybrané sloupce'!AW18</f>
        <v>0</v>
      </c>
      <c r="H19" s="3">
        <f>F19*AO19</f>
        <v>0</v>
      </c>
      <c r="I19" s="3">
        <f>F19*AP19</f>
        <v>0</v>
      </c>
      <c r="J19" s="3">
        <f>F19*G19</f>
        <v>0</v>
      </c>
      <c r="K19" s="3">
        <v>0.01201</v>
      </c>
      <c r="L19" s="3">
        <f>F19*K19</f>
        <v>0.19710812</v>
      </c>
      <c r="M19" s="49" t="s">
        <v>369</v>
      </c>
      <c r="Z19" s="52">
        <f>IF(AQ19="5",BJ19,0)</f>
        <v>0</v>
      </c>
      <c r="AB19" s="52">
        <f>IF(AQ19="1",BH19,0)</f>
        <v>0</v>
      </c>
      <c r="AC19" s="52">
        <f>IF(AQ19="1",BI19,0)</f>
        <v>0</v>
      </c>
      <c r="AD19" s="52">
        <f>IF(AQ19="7",BH19,0)</f>
        <v>0</v>
      </c>
      <c r="AE19" s="52">
        <f>IF(AQ19="7",BI19,0)</f>
        <v>0</v>
      </c>
      <c r="AF19" s="52">
        <f>IF(AQ19="2",BH19,0)</f>
        <v>0</v>
      </c>
      <c r="AG19" s="52">
        <f>IF(AQ19="2",BI19,0)</f>
        <v>0</v>
      </c>
      <c r="AH19" s="52">
        <f>IF(AQ19="0",BJ19,0)</f>
        <v>0</v>
      </c>
      <c r="AI19" s="45"/>
      <c r="AJ19" s="3">
        <f>IF(AN19=0,J19,0)</f>
        <v>0</v>
      </c>
      <c r="AK19" s="3">
        <f>IF(AN19=15,J19,0)</f>
        <v>0</v>
      </c>
      <c r="AL19" s="3">
        <f>IF(AN19=21,J19,0)</f>
        <v>0</v>
      </c>
      <c r="AN19" s="52">
        <v>21</v>
      </c>
      <c r="AO19" s="52">
        <f>G19*0.341751749647834</f>
        <v>0</v>
      </c>
      <c r="AP19" s="52">
        <f>G19*(1-0.341751749647834)</f>
        <v>0</v>
      </c>
      <c r="AQ19" s="49" t="s">
        <v>7</v>
      </c>
      <c r="AV19" s="52">
        <f>AW19+AX19</f>
        <v>0</v>
      </c>
      <c r="AW19" s="52">
        <f>F19*AO19</f>
        <v>0</v>
      </c>
      <c r="AX19" s="52">
        <f>F19*AP19</f>
        <v>0</v>
      </c>
      <c r="AY19" s="53" t="s">
        <v>383</v>
      </c>
      <c r="AZ19" s="53" t="s">
        <v>411</v>
      </c>
      <c r="BA19" s="45" t="s">
        <v>420</v>
      </c>
      <c r="BC19" s="52">
        <f>AW19+AX19</f>
        <v>0</v>
      </c>
      <c r="BD19" s="52">
        <f>G19/(100-BE19)*100</f>
        <v>0</v>
      </c>
      <c r="BE19" s="52">
        <v>0</v>
      </c>
      <c r="BF19" s="52">
        <f>L19</f>
        <v>0.19710812</v>
      </c>
      <c r="BH19" s="3">
        <f>F19*AO19</f>
        <v>0</v>
      </c>
      <c r="BI19" s="3">
        <f>F19*AP19</f>
        <v>0</v>
      </c>
      <c r="BJ19" s="3">
        <f>F19*G19</f>
        <v>0</v>
      </c>
    </row>
    <row r="20" spans="1:47" ht="12.75">
      <c r="A20" s="30"/>
      <c r="B20" s="36"/>
      <c r="C20" s="36" t="s">
        <v>67</v>
      </c>
      <c r="D20" s="36" t="s">
        <v>193</v>
      </c>
      <c r="E20" s="30" t="s">
        <v>6</v>
      </c>
      <c r="F20" s="30" t="s">
        <v>6</v>
      </c>
      <c r="G20" s="30" t="s">
        <v>6</v>
      </c>
      <c r="H20" s="6">
        <f>SUM(H21:H26)</f>
        <v>0</v>
      </c>
      <c r="I20" s="6">
        <f>SUM(I21:I26)</f>
        <v>0</v>
      </c>
      <c r="J20" s="6">
        <f>SUM(J21:J26)</f>
        <v>0</v>
      </c>
      <c r="K20" s="45"/>
      <c r="L20" s="6">
        <f>SUM(L21:L26)</f>
        <v>1.14822114</v>
      </c>
      <c r="M20" s="45"/>
      <c r="AI20" s="45"/>
      <c r="AS20" s="6">
        <f>SUM(AJ21:AJ26)</f>
        <v>0</v>
      </c>
      <c r="AT20" s="6">
        <f>SUM(AK21:AK26)</f>
        <v>0</v>
      </c>
      <c r="AU20" s="6">
        <f>SUM(AL21:AL26)</f>
        <v>0</v>
      </c>
    </row>
    <row r="21" spans="1:62" ht="12.75">
      <c r="A21" s="1" t="s">
        <v>12</v>
      </c>
      <c r="B21" s="1"/>
      <c r="C21" s="1" t="s">
        <v>90</v>
      </c>
      <c r="D21" s="1" t="s">
        <v>194</v>
      </c>
      <c r="E21" s="1" t="s">
        <v>292</v>
      </c>
      <c r="F21" s="3">
        <f>'Rozpočet - vybrané sloupce'!AR20</f>
        <v>12</v>
      </c>
      <c r="G21" s="3">
        <f>'Rozpočet - vybrané sloupce'!AW20</f>
        <v>0</v>
      </c>
      <c r="H21" s="3">
        <f aca="true" t="shared" si="0" ref="H21:H26">F21*AO21</f>
        <v>0</v>
      </c>
      <c r="I21" s="3">
        <f aca="true" t="shared" si="1" ref="I21:I26">F21*AP21</f>
        <v>0</v>
      </c>
      <c r="J21" s="3">
        <f aca="true" t="shared" si="2" ref="J21:J26">F21*G21</f>
        <v>0</v>
      </c>
      <c r="K21" s="3">
        <v>0.03713</v>
      </c>
      <c r="L21" s="3">
        <f aca="true" t="shared" si="3" ref="L21:L26">F21*K21</f>
        <v>0.44556000000000007</v>
      </c>
      <c r="M21" s="49" t="s">
        <v>369</v>
      </c>
      <c r="Z21" s="52">
        <f aca="true" t="shared" si="4" ref="Z21:Z26">IF(AQ21="5",BJ21,0)</f>
        <v>0</v>
      </c>
      <c r="AB21" s="52">
        <f aca="true" t="shared" si="5" ref="AB21:AB26">IF(AQ21="1",BH21,0)</f>
        <v>0</v>
      </c>
      <c r="AC21" s="52">
        <f aca="true" t="shared" si="6" ref="AC21:AC26">IF(AQ21="1",BI21,0)</f>
        <v>0</v>
      </c>
      <c r="AD21" s="52">
        <f aca="true" t="shared" si="7" ref="AD21:AD26">IF(AQ21="7",BH21,0)</f>
        <v>0</v>
      </c>
      <c r="AE21" s="52">
        <f aca="true" t="shared" si="8" ref="AE21:AE26">IF(AQ21="7",BI21,0)</f>
        <v>0</v>
      </c>
      <c r="AF21" s="52">
        <f aca="true" t="shared" si="9" ref="AF21:AF26">IF(AQ21="2",BH21,0)</f>
        <v>0</v>
      </c>
      <c r="AG21" s="52">
        <f aca="true" t="shared" si="10" ref="AG21:AG26">IF(AQ21="2",BI21,0)</f>
        <v>0</v>
      </c>
      <c r="AH21" s="52">
        <f aca="true" t="shared" si="11" ref="AH21:AH26">IF(AQ21="0",BJ21,0)</f>
        <v>0</v>
      </c>
      <c r="AI21" s="45"/>
      <c r="AJ21" s="3">
        <f aca="true" t="shared" si="12" ref="AJ21:AJ26">IF(AN21=0,J21,0)</f>
        <v>0</v>
      </c>
      <c r="AK21" s="3">
        <f aca="true" t="shared" si="13" ref="AK21:AK26">IF(AN21=15,J21,0)</f>
        <v>0</v>
      </c>
      <c r="AL21" s="3">
        <f aca="true" t="shared" si="14" ref="AL21:AL26">IF(AN21=21,J21,0)</f>
        <v>0</v>
      </c>
      <c r="AN21" s="52">
        <v>21</v>
      </c>
      <c r="AO21" s="52">
        <f>G21*0.484595744680851</f>
        <v>0</v>
      </c>
      <c r="AP21" s="52">
        <f>G21*(1-0.484595744680851)</f>
        <v>0</v>
      </c>
      <c r="AQ21" s="49" t="s">
        <v>7</v>
      </c>
      <c r="AV21" s="52">
        <f aca="true" t="shared" si="15" ref="AV21:AV26">AW21+AX21</f>
        <v>0</v>
      </c>
      <c r="AW21" s="52">
        <f aca="true" t="shared" si="16" ref="AW21:AW26">F21*AO21</f>
        <v>0</v>
      </c>
      <c r="AX21" s="52">
        <f aca="true" t="shared" si="17" ref="AX21:AX26">F21*AP21</f>
        <v>0</v>
      </c>
      <c r="AY21" s="53" t="s">
        <v>384</v>
      </c>
      <c r="AZ21" s="53" t="s">
        <v>412</v>
      </c>
      <c r="BA21" s="45" t="s">
        <v>420</v>
      </c>
      <c r="BC21" s="52">
        <f aca="true" t="shared" si="18" ref="BC21:BC26">AW21+AX21</f>
        <v>0</v>
      </c>
      <c r="BD21" s="52">
        <f aca="true" t="shared" si="19" ref="BD21:BD26">G21/(100-BE21)*100</f>
        <v>0</v>
      </c>
      <c r="BE21" s="52">
        <v>0</v>
      </c>
      <c r="BF21" s="52">
        <f aca="true" t="shared" si="20" ref="BF21:BF26">L21</f>
        <v>0.44556000000000007</v>
      </c>
      <c r="BH21" s="3">
        <f aca="true" t="shared" si="21" ref="BH21:BH26">F21*AO21</f>
        <v>0</v>
      </c>
      <c r="BI21" s="3">
        <f aca="true" t="shared" si="22" ref="BI21:BI26">F21*AP21</f>
        <v>0</v>
      </c>
      <c r="BJ21" s="3">
        <f aca="true" t="shared" si="23" ref="BJ21:BJ26">F21*G21</f>
        <v>0</v>
      </c>
    </row>
    <row r="22" spans="1:62" ht="12.75">
      <c r="A22" s="1" t="s">
        <v>13</v>
      </c>
      <c r="B22" s="1"/>
      <c r="C22" s="1" t="s">
        <v>91</v>
      </c>
      <c r="D22" s="1" t="s">
        <v>195</v>
      </c>
      <c r="E22" s="1" t="s">
        <v>291</v>
      </c>
      <c r="F22" s="3">
        <f>'Rozpočet - vybrané sloupce'!AR21</f>
        <v>80.912</v>
      </c>
      <c r="G22" s="3">
        <f>'Rozpočet - vybrané sloupce'!AW21</f>
        <v>0</v>
      </c>
      <c r="H22" s="3">
        <f t="shared" si="0"/>
        <v>0</v>
      </c>
      <c r="I22" s="3">
        <f t="shared" si="1"/>
        <v>0</v>
      </c>
      <c r="J22" s="3">
        <f t="shared" si="2"/>
        <v>0</v>
      </c>
      <c r="K22" s="3">
        <v>0.00252</v>
      </c>
      <c r="L22" s="3">
        <f t="shared" si="3"/>
        <v>0.20389824000000004</v>
      </c>
      <c r="M22" s="49" t="s">
        <v>369</v>
      </c>
      <c r="Z22" s="52">
        <f t="shared" si="4"/>
        <v>0</v>
      </c>
      <c r="AB22" s="52">
        <f t="shared" si="5"/>
        <v>0</v>
      </c>
      <c r="AC22" s="52">
        <f t="shared" si="6"/>
        <v>0</v>
      </c>
      <c r="AD22" s="52">
        <f t="shared" si="7"/>
        <v>0</v>
      </c>
      <c r="AE22" s="52">
        <f t="shared" si="8"/>
        <v>0</v>
      </c>
      <c r="AF22" s="52">
        <f t="shared" si="9"/>
        <v>0</v>
      </c>
      <c r="AG22" s="52">
        <f t="shared" si="10"/>
        <v>0</v>
      </c>
      <c r="AH22" s="52">
        <f t="shared" si="11"/>
        <v>0</v>
      </c>
      <c r="AI22" s="45"/>
      <c r="AJ22" s="3">
        <f t="shared" si="12"/>
        <v>0</v>
      </c>
      <c r="AK22" s="3">
        <f t="shared" si="13"/>
        <v>0</v>
      </c>
      <c r="AL22" s="3">
        <f t="shared" si="14"/>
        <v>0</v>
      </c>
      <c r="AN22" s="52">
        <v>21</v>
      </c>
      <c r="AO22" s="52">
        <f>G22*0.185568104048855</f>
        <v>0</v>
      </c>
      <c r="AP22" s="52">
        <f>G22*(1-0.185568104048855)</f>
        <v>0</v>
      </c>
      <c r="AQ22" s="49" t="s">
        <v>7</v>
      </c>
      <c r="AV22" s="52">
        <f t="shared" si="15"/>
        <v>0</v>
      </c>
      <c r="AW22" s="52">
        <f t="shared" si="16"/>
        <v>0</v>
      </c>
      <c r="AX22" s="52">
        <f t="shared" si="17"/>
        <v>0</v>
      </c>
      <c r="AY22" s="53" t="s">
        <v>384</v>
      </c>
      <c r="AZ22" s="53" t="s">
        <v>412</v>
      </c>
      <c r="BA22" s="45" t="s">
        <v>420</v>
      </c>
      <c r="BC22" s="52">
        <f t="shared" si="18"/>
        <v>0</v>
      </c>
      <c r="BD22" s="52">
        <f t="shared" si="19"/>
        <v>0</v>
      </c>
      <c r="BE22" s="52">
        <v>0</v>
      </c>
      <c r="BF22" s="52">
        <f t="shared" si="20"/>
        <v>0.20389824000000004</v>
      </c>
      <c r="BH22" s="3">
        <f t="shared" si="21"/>
        <v>0</v>
      </c>
      <c r="BI22" s="3">
        <f t="shared" si="22"/>
        <v>0</v>
      </c>
      <c r="BJ22" s="3">
        <f t="shared" si="23"/>
        <v>0</v>
      </c>
    </row>
    <row r="23" spans="1:62" ht="12.75">
      <c r="A23" s="1" t="s">
        <v>14</v>
      </c>
      <c r="B23" s="1"/>
      <c r="C23" s="1" t="s">
        <v>92</v>
      </c>
      <c r="D23" s="1" t="s">
        <v>196</v>
      </c>
      <c r="E23" s="1" t="s">
        <v>291</v>
      </c>
      <c r="F23" s="3">
        <f>'Rozpočet - vybrané sloupce'!AR22</f>
        <v>4</v>
      </c>
      <c r="G23" s="3">
        <f>'Rozpočet - vybrané sloupce'!AW22</f>
        <v>0</v>
      </c>
      <c r="H23" s="3">
        <f t="shared" si="0"/>
        <v>0</v>
      </c>
      <c r="I23" s="3">
        <f t="shared" si="1"/>
        <v>0</v>
      </c>
      <c r="J23" s="3">
        <f t="shared" si="2"/>
        <v>0</v>
      </c>
      <c r="K23" s="3">
        <v>0.03921</v>
      </c>
      <c r="L23" s="3">
        <f t="shared" si="3"/>
        <v>0.15684</v>
      </c>
      <c r="M23" s="49" t="s">
        <v>369</v>
      </c>
      <c r="Z23" s="52">
        <f t="shared" si="4"/>
        <v>0</v>
      </c>
      <c r="AB23" s="52">
        <f t="shared" si="5"/>
        <v>0</v>
      </c>
      <c r="AC23" s="52">
        <f t="shared" si="6"/>
        <v>0</v>
      </c>
      <c r="AD23" s="52">
        <f t="shared" si="7"/>
        <v>0</v>
      </c>
      <c r="AE23" s="52">
        <f t="shared" si="8"/>
        <v>0</v>
      </c>
      <c r="AF23" s="52">
        <f t="shared" si="9"/>
        <v>0</v>
      </c>
      <c r="AG23" s="52">
        <f t="shared" si="10"/>
        <v>0</v>
      </c>
      <c r="AH23" s="52">
        <f t="shared" si="11"/>
        <v>0</v>
      </c>
      <c r="AI23" s="45"/>
      <c r="AJ23" s="3">
        <f t="shared" si="12"/>
        <v>0</v>
      </c>
      <c r="AK23" s="3">
        <f t="shared" si="13"/>
        <v>0</v>
      </c>
      <c r="AL23" s="3">
        <f t="shared" si="14"/>
        <v>0</v>
      </c>
      <c r="AN23" s="52">
        <v>21</v>
      </c>
      <c r="AO23" s="52">
        <f>G23*0.159433551198257</f>
        <v>0</v>
      </c>
      <c r="AP23" s="52">
        <f>G23*(1-0.159433551198257)</f>
        <v>0</v>
      </c>
      <c r="AQ23" s="49" t="s">
        <v>7</v>
      </c>
      <c r="AV23" s="52">
        <f t="shared" si="15"/>
        <v>0</v>
      </c>
      <c r="AW23" s="52">
        <f t="shared" si="16"/>
        <v>0</v>
      </c>
      <c r="AX23" s="52">
        <f t="shared" si="17"/>
        <v>0</v>
      </c>
      <c r="AY23" s="53" t="s">
        <v>384</v>
      </c>
      <c r="AZ23" s="53" t="s">
        <v>412</v>
      </c>
      <c r="BA23" s="45" t="s">
        <v>420</v>
      </c>
      <c r="BC23" s="52">
        <f t="shared" si="18"/>
        <v>0</v>
      </c>
      <c r="BD23" s="52">
        <f t="shared" si="19"/>
        <v>0</v>
      </c>
      <c r="BE23" s="52">
        <v>0</v>
      </c>
      <c r="BF23" s="52">
        <f t="shared" si="20"/>
        <v>0.15684</v>
      </c>
      <c r="BH23" s="3">
        <f t="shared" si="21"/>
        <v>0</v>
      </c>
      <c r="BI23" s="3">
        <f t="shared" si="22"/>
        <v>0</v>
      </c>
      <c r="BJ23" s="3">
        <f t="shared" si="23"/>
        <v>0</v>
      </c>
    </row>
    <row r="24" spans="1:62" ht="12.75">
      <c r="A24" s="1" t="s">
        <v>15</v>
      </c>
      <c r="B24" s="1"/>
      <c r="C24" s="1" t="s">
        <v>93</v>
      </c>
      <c r="D24" s="1" t="s">
        <v>197</v>
      </c>
      <c r="E24" s="1" t="s">
        <v>291</v>
      </c>
      <c r="F24" s="3">
        <f>'Rozpočet - vybrané sloupce'!AR23</f>
        <v>24.39</v>
      </c>
      <c r="G24" s="3">
        <f>'Rozpočet - vybrané sloupce'!AW23</f>
        <v>0</v>
      </c>
      <c r="H24" s="3">
        <f t="shared" si="0"/>
        <v>0</v>
      </c>
      <c r="I24" s="3">
        <f t="shared" si="1"/>
        <v>0</v>
      </c>
      <c r="J24" s="3">
        <f t="shared" si="2"/>
        <v>0</v>
      </c>
      <c r="K24" s="3">
        <v>0.00635</v>
      </c>
      <c r="L24" s="3">
        <f t="shared" si="3"/>
        <v>0.1548765</v>
      </c>
      <c r="M24" s="49" t="s">
        <v>369</v>
      </c>
      <c r="Z24" s="52">
        <f t="shared" si="4"/>
        <v>0</v>
      </c>
      <c r="AB24" s="52">
        <f t="shared" si="5"/>
        <v>0</v>
      </c>
      <c r="AC24" s="52">
        <f t="shared" si="6"/>
        <v>0</v>
      </c>
      <c r="AD24" s="52">
        <f t="shared" si="7"/>
        <v>0</v>
      </c>
      <c r="AE24" s="52">
        <f t="shared" si="8"/>
        <v>0</v>
      </c>
      <c r="AF24" s="52">
        <f t="shared" si="9"/>
        <v>0</v>
      </c>
      <c r="AG24" s="52">
        <f t="shared" si="10"/>
        <v>0</v>
      </c>
      <c r="AH24" s="52">
        <f t="shared" si="11"/>
        <v>0</v>
      </c>
      <c r="AI24" s="45"/>
      <c r="AJ24" s="3">
        <f t="shared" si="12"/>
        <v>0</v>
      </c>
      <c r="AK24" s="3">
        <f t="shared" si="13"/>
        <v>0</v>
      </c>
      <c r="AL24" s="3">
        <f t="shared" si="14"/>
        <v>0</v>
      </c>
      <c r="AN24" s="52">
        <v>21</v>
      </c>
      <c r="AO24" s="52">
        <f>G24*0.0477631578947368</f>
        <v>0</v>
      </c>
      <c r="AP24" s="52">
        <f>G24*(1-0.0477631578947368)</f>
        <v>0</v>
      </c>
      <c r="AQ24" s="49" t="s">
        <v>7</v>
      </c>
      <c r="AV24" s="52">
        <f t="shared" si="15"/>
        <v>0</v>
      </c>
      <c r="AW24" s="52">
        <f t="shared" si="16"/>
        <v>0</v>
      </c>
      <c r="AX24" s="52">
        <f t="shared" si="17"/>
        <v>0</v>
      </c>
      <c r="AY24" s="53" t="s">
        <v>384</v>
      </c>
      <c r="AZ24" s="53" t="s">
        <v>412</v>
      </c>
      <c r="BA24" s="45" t="s">
        <v>420</v>
      </c>
      <c r="BC24" s="52">
        <f t="shared" si="18"/>
        <v>0</v>
      </c>
      <c r="BD24" s="52">
        <f t="shared" si="19"/>
        <v>0</v>
      </c>
      <c r="BE24" s="52">
        <v>0</v>
      </c>
      <c r="BF24" s="52">
        <f t="shared" si="20"/>
        <v>0.1548765</v>
      </c>
      <c r="BH24" s="3">
        <f t="shared" si="21"/>
        <v>0</v>
      </c>
      <c r="BI24" s="3">
        <f t="shared" si="22"/>
        <v>0</v>
      </c>
      <c r="BJ24" s="3">
        <f t="shared" si="23"/>
        <v>0</v>
      </c>
    </row>
    <row r="25" spans="1:62" ht="12.75">
      <c r="A25" s="1" t="s">
        <v>16</v>
      </c>
      <c r="B25" s="1"/>
      <c r="C25" s="1" t="s">
        <v>94</v>
      </c>
      <c r="D25" s="1" t="s">
        <v>198</v>
      </c>
      <c r="E25" s="1" t="s">
        <v>292</v>
      </c>
      <c r="F25" s="3">
        <f>'Rozpočet - vybrané sloupce'!AR24</f>
        <v>22</v>
      </c>
      <c r="G25" s="3">
        <f>'Rozpočet - vybrané sloupce'!AW24</f>
        <v>0</v>
      </c>
      <c r="H25" s="3">
        <f t="shared" si="0"/>
        <v>0</v>
      </c>
      <c r="I25" s="3">
        <f t="shared" si="1"/>
        <v>0</v>
      </c>
      <c r="J25" s="3">
        <f t="shared" si="2"/>
        <v>0</v>
      </c>
      <c r="K25" s="3">
        <v>0.00849</v>
      </c>
      <c r="L25" s="3">
        <f t="shared" si="3"/>
        <v>0.18677999999999997</v>
      </c>
      <c r="M25" s="49" t="s">
        <v>369</v>
      </c>
      <c r="Z25" s="52">
        <f t="shared" si="4"/>
        <v>0</v>
      </c>
      <c r="AB25" s="52">
        <f t="shared" si="5"/>
        <v>0</v>
      </c>
      <c r="AC25" s="52">
        <f t="shared" si="6"/>
        <v>0</v>
      </c>
      <c r="AD25" s="52">
        <f t="shared" si="7"/>
        <v>0</v>
      </c>
      <c r="AE25" s="52">
        <f t="shared" si="8"/>
        <v>0</v>
      </c>
      <c r="AF25" s="52">
        <f t="shared" si="9"/>
        <v>0</v>
      </c>
      <c r="AG25" s="52">
        <f t="shared" si="10"/>
        <v>0</v>
      </c>
      <c r="AH25" s="52">
        <f t="shared" si="11"/>
        <v>0</v>
      </c>
      <c r="AI25" s="45"/>
      <c r="AJ25" s="3">
        <f t="shared" si="12"/>
        <v>0</v>
      </c>
      <c r="AK25" s="3">
        <f t="shared" si="13"/>
        <v>0</v>
      </c>
      <c r="AL25" s="3">
        <f t="shared" si="14"/>
        <v>0</v>
      </c>
      <c r="AN25" s="52">
        <v>21</v>
      </c>
      <c r="AO25" s="52">
        <f>G25*0.242232558139535</f>
        <v>0</v>
      </c>
      <c r="AP25" s="52">
        <f>G25*(1-0.242232558139535)</f>
        <v>0</v>
      </c>
      <c r="AQ25" s="49" t="s">
        <v>7</v>
      </c>
      <c r="AV25" s="52">
        <f t="shared" si="15"/>
        <v>0</v>
      </c>
      <c r="AW25" s="52">
        <f t="shared" si="16"/>
        <v>0</v>
      </c>
      <c r="AX25" s="52">
        <f t="shared" si="17"/>
        <v>0</v>
      </c>
      <c r="AY25" s="53" t="s">
        <v>384</v>
      </c>
      <c r="AZ25" s="53" t="s">
        <v>412</v>
      </c>
      <c r="BA25" s="45" t="s">
        <v>420</v>
      </c>
      <c r="BC25" s="52">
        <f t="shared" si="18"/>
        <v>0</v>
      </c>
      <c r="BD25" s="52">
        <f t="shared" si="19"/>
        <v>0</v>
      </c>
      <c r="BE25" s="52">
        <v>0</v>
      </c>
      <c r="BF25" s="52">
        <f t="shared" si="20"/>
        <v>0.18677999999999997</v>
      </c>
      <c r="BH25" s="3">
        <f t="shared" si="21"/>
        <v>0</v>
      </c>
      <c r="BI25" s="3">
        <f t="shared" si="22"/>
        <v>0</v>
      </c>
      <c r="BJ25" s="3">
        <f t="shared" si="23"/>
        <v>0</v>
      </c>
    </row>
    <row r="26" spans="1:62" ht="12.75">
      <c r="A26" s="1" t="s">
        <v>17</v>
      </c>
      <c r="B26" s="1"/>
      <c r="C26" s="1" t="s">
        <v>95</v>
      </c>
      <c r="D26" s="1" t="s">
        <v>199</v>
      </c>
      <c r="E26" s="1" t="s">
        <v>291</v>
      </c>
      <c r="F26" s="3">
        <f>'Rozpočet - vybrané sloupce'!AR25</f>
        <v>6.66</v>
      </c>
      <c r="G26" s="3">
        <f>'Rozpočet - vybrané sloupce'!AW25</f>
        <v>0</v>
      </c>
      <c r="H26" s="3">
        <f t="shared" si="0"/>
        <v>0</v>
      </c>
      <c r="I26" s="3">
        <f t="shared" si="1"/>
        <v>0</v>
      </c>
      <c r="J26" s="3">
        <f t="shared" si="2"/>
        <v>0</v>
      </c>
      <c r="K26" s="3">
        <v>4E-05</v>
      </c>
      <c r="L26" s="3">
        <f t="shared" si="3"/>
        <v>0.0002664</v>
      </c>
      <c r="M26" s="49" t="s">
        <v>369</v>
      </c>
      <c r="Z26" s="52">
        <f t="shared" si="4"/>
        <v>0</v>
      </c>
      <c r="AB26" s="52">
        <f t="shared" si="5"/>
        <v>0</v>
      </c>
      <c r="AC26" s="52">
        <f t="shared" si="6"/>
        <v>0</v>
      </c>
      <c r="AD26" s="52">
        <f t="shared" si="7"/>
        <v>0</v>
      </c>
      <c r="AE26" s="52">
        <f t="shared" si="8"/>
        <v>0</v>
      </c>
      <c r="AF26" s="52">
        <f t="shared" si="9"/>
        <v>0</v>
      </c>
      <c r="AG26" s="52">
        <f t="shared" si="10"/>
        <v>0</v>
      </c>
      <c r="AH26" s="52">
        <f t="shared" si="11"/>
        <v>0</v>
      </c>
      <c r="AI26" s="45"/>
      <c r="AJ26" s="3">
        <f t="shared" si="12"/>
        <v>0</v>
      </c>
      <c r="AK26" s="3">
        <f t="shared" si="13"/>
        <v>0</v>
      </c>
      <c r="AL26" s="3">
        <f t="shared" si="14"/>
        <v>0</v>
      </c>
      <c r="AN26" s="52">
        <v>21</v>
      </c>
      <c r="AO26" s="52">
        <f>G26*0.293417188014488</f>
        <v>0</v>
      </c>
      <c r="AP26" s="52">
        <f>G26*(1-0.293417188014488)</f>
        <v>0</v>
      </c>
      <c r="AQ26" s="49" t="s">
        <v>7</v>
      </c>
      <c r="AV26" s="52">
        <f t="shared" si="15"/>
        <v>0</v>
      </c>
      <c r="AW26" s="52">
        <f t="shared" si="16"/>
        <v>0</v>
      </c>
      <c r="AX26" s="52">
        <f t="shared" si="17"/>
        <v>0</v>
      </c>
      <c r="AY26" s="53" t="s">
        <v>384</v>
      </c>
      <c r="AZ26" s="53" t="s">
        <v>412</v>
      </c>
      <c r="BA26" s="45" t="s">
        <v>420</v>
      </c>
      <c r="BC26" s="52">
        <f t="shared" si="18"/>
        <v>0</v>
      </c>
      <c r="BD26" s="52">
        <f t="shared" si="19"/>
        <v>0</v>
      </c>
      <c r="BE26" s="52">
        <v>0</v>
      </c>
      <c r="BF26" s="52">
        <f t="shared" si="20"/>
        <v>0.0002664</v>
      </c>
      <c r="BH26" s="3">
        <f t="shared" si="21"/>
        <v>0</v>
      </c>
      <c r="BI26" s="3">
        <f t="shared" si="22"/>
        <v>0</v>
      </c>
      <c r="BJ26" s="3">
        <f t="shared" si="23"/>
        <v>0</v>
      </c>
    </row>
    <row r="27" spans="1:47" ht="12.75">
      <c r="A27" s="30"/>
      <c r="B27" s="36"/>
      <c r="C27" s="36" t="s">
        <v>69</v>
      </c>
      <c r="D27" s="36" t="s">
        <v>200</v>
      </c>
      <c r="E27" s="30" t="s">
        <v>6</v>
      </c>
      <c r="F27" s="30" t="s">
        <v>6</v>
      </c>
      <c r="G27" s="30" t="s">
        <v>6</v>
      </c>
      <c r="H27" s="6">
        <f>SUM(H28:H28)</f>
        <v>0</v>
      </c>
      <c r="I27" s="6">
        <f>SUM(I28:I28)</f>
        <v>0</v>
      </c>
      <c r="J27" s="6">
        <f>SUM(J28:J28)</f>
        <v>0</v>
      </c>
      <c r="K27" s="45"/>
      <c r="L27" s="6">
        <f>SUM(L28:L28)</f>
        <v>0.29640071999999995</v>
      </c>
      <c r="M27" s="45"/>
      <c r="AI27" s="45"/>
      <c r="AS27" s="6">
        <f>SUM(AJ28:AJ28)</f>
        <v>0</v>
      </c>
      <c r="AT27" s="6">
        <f>SUM(AK28:AK28)</f>
        <v>0</v>
      </c>
      <c r="AU27" s="6">
        <f>SUM(AL28:AL28)</f>
        <v>0</v>
      </c>
    </row>
    <row r="28" spans="1:62" ht="12.75">
      <c r="A28" s="1" t="s">
        <v>18</v>
      </c>
      <c r="B28" s="1"/>
      <c r="C28" s="1" t="s">
        <v>96</v>
      </c>
      <c r="D28" s="1" t="s">
        <v>201</v>
      </c>
      <c r="E28" s="1" t="s">
        <v>291</v>
      </c>
      <c r="F28" s="3">
        <f>'Rozpočet - vybrané sloupce'!AR27</f>
        <v>16.412</v>
      </c>
      <c r="G28" s="3">
        <f>'Rozpočet - vybrané sloupce'!AW27</f>
        <v>0</v>
      </c>
      <c r="H28" s="3">
        <f>F28*AO28</f>
        <v>0</v>
      </c>
      <c r="I28" s="3">
        <f>F28*AP28</f>
        <v>0</v>
      </c>
      <c r="J28" s="3">
        <f>F28*G28</f>
        <v>0</v>
      </c>
      <c r="K28" s="3">
        <v>0.01806</v>
      </c>
      <c r="L28" s="3">
        <f>F28*K28</f>
        <v>0.29640071999999995</v>
      </c>
      <c r="M28" s="49" t="s">
        <v>369</v>
      </c>
      <c r="Z28" s="52">
        <f>IF(AQ28="5",BJ28,0)</f>
        <v>0</v>
      </c>
      <c r="AB28" s="52">
        <f>IF(AQ28="1",BH28,0)</f>
        <v>0</v>
      </c>
      <c r="AC28" s="52">
        <f>IF(AQ28="1",BI28,0)</f>
        <v>0</v>
      </c>
      <c r="AD28" s="52">
        <f>IF(AQ28="7",BH28,0)</f>
        <v>0</v>
      </c>
      <c r="AE28" s="52">
        <f>IF(AQ28="7",BI28,0)</f>
        <v>0</v>
      </c>
      <c r="AF28" s="52">
        <f>IF(AQ28="2",BH28,0)</f>
        <v>0</v>
      </c>
      <c r="AG28" s="52">
        <f>IF(AQ28="2",BI28,0)</f>
        <v>0</v>
      </c>
      <c r="AH28" s="52">
        <f>IF(AQ28="0",BJ28,0)</f>
        <v>0</v>
      </c>
      <c r="AI28" s="45"/>
      <c r="AJ28" s="3">
        <f>IF(AN28=0,J28,0)</f>
        <v>0</v>
      </c>
      <c r="AK28" s="3">
        <f>IF(AN28=15,J28,0)</f>
        <v>0</v>
      </c>
      <c r="AL28" s="3">
        <f>IF(AN28=21,J28,0)</f>
        <v>0</v>
      </c>
      <c r="AN28" s="52">
        <v>21</v>
      </c>
      <c r="AO28" s="52">
        <f>G28*0.620425286125073</f>
        <v>0</v>
      </c>
      <c r="AP28" s="52">
        <f>G28*(1-0.620425286125073)</f>
        <v>0</v>
      </c>
      <c r="AQ28" s="49" t="s">
        <v>7</v>
      </c>
      <c r="AV28" s="52">
        <f>AW28+AX28</f>
        <v>0</v>
      </c>
      <c r="AW28" s="52">
        <f>F28*AO28</f>
        <v>0</v>
      </c>
      <c r="AX28" s="52">
        <f>F28*AP28</f>
        <v>0</v>
      </c>
      <c r="AY28" s="53" t="s">
        <v>385</v>
      </c>
      <c r="AZ28" s="53" t="s">
        <v>412</v>
      </c>
      <c r="BA28" s="45" t="s">
        <v>420</v>
      </c>
      <c r="BC28" s="52">
        <f>AW28+AX28</f>
        <v>0</v>
      </c>
      <c r="BD28" s="52">
        <f>G28/(100-BE28)*100</f>
        <v>0</v>
      </c>
      <c r="BE28" s="52">
        <v>0</v>
      </c>
      <c r="BF28" s="52">
        <f>L28</f>
        <v>0.29640071999999995</v>
      </c>
      <c r="BH28" s="3">
        <f>F28*AO28</f>
        <v>0</v>
      </c>
      <c r="BI28" s="3">
        <f>F28*AP28</f>
        <v>0</v>
      </c>
      <c r="BJ28" s="3">
        <f>F28*G28</f>
        <v>0</v>
      </c>
    </row>
    <row r="29" spans="1:47" ht="12.75">
      <c r="A29" s="30"/>
      <c r="B29" s="36"/>
      <c r="C29" s="36" t="s">
        <v>70</v>
      </c>
      <c r="D29" s="36" t="s">
        <v>202</v>
      </c>
      <c r="E29" s="30" t="s">
        <v>6</v>
      </c>
      <c r="F29" s="30" t="s">
        <v>6</v>
      </c>
      <c r="G29" s="30" t="s">
        <v>6</v>
      </c>
      <c r="H29" s="6">
        <f>SUM(H30:H31)</f>
        <v>0</v>
      </c>
      <c r="I29" s="6">
        <f>SUM(I30:I31)</f>
        <v>0</v>
      </c>
      <c r="J29" s="6">
        <f>SUM(J30:J31)</f>
        <v>0</v>
      </c>
      <c r="K29" s="45"/>
      <c r="L29" s="6">
        <f>SUM(L30:L31)</f>
        <v>0.26248</v>
      </c>
      <c r="M29" s="45"/>
      <c r="AI29" s="45"/>
      <c r="AS29" s="6">
        <f>SUM(AJ30:AJ31)</f>
        <v>0</v>
      </c>
      <c r="AT29" s="6">
        <f>SUM(AK30:AK31)</f>
        <v>0</v>
      </c>
      <c r="AU29" s="6">
        <f>SUM(AL30:AL31)</f>
        <v>0</v>
      </c>
    </row>
    <row r="30" spans="1:62" ht="12.75">
      <c r="A30" s="1" t="s">
        <v>19</v>
      </c>
      <c r="B30" s="1"/>
      <c r="C30" s="1" t="s">
        <v>97</v>
      </c>
      <c r="D30" s="1" t="s">
        <v>203</v>
      </c>
      <c r="E30" s="1" t="s">
        <v>290</v>
      </c>
      <c r="F30" s="3">
        <f>'Rozpočet - vybrané sloupce'!AR29</f>
        <v>3</v>
      </c>
      <c r="G30" s="3">
        <f>'Rozpočet - vybrané sloupce'!AW29</f>
        <v>0</v>
      </c>
      <c r="H30" s="3">
        <f>F30*AO30</f>
        <v>0</v>
      </c>
      <c r="I30" s="3">
        <f>F30*AP30</f>
        <v>0</v>
      </c>
      <c r="J30" s="3">
        <f>F30*G30</f>
        <v>0</v>
      </c>
      <c r="K30" s="3">
        <v>0.06541</v>
      </c>
      <c r="L30" s="3">
        <f>F30*K30</f>
        <v>0.19623</v>
      </c>
      <c r="M30" s="49" t="s">
        <v>369</v>
      </c>
      <c r="Z30" s="52">
        <f>IF(AQ30="5",BJ30,0)</f>
        <v>0</v>
      </c>
      <c r="AB30" s="52">
        <f>IF(AQ30="1",BH30,0)</f>
        <v>0</v>
      </c>
      <c r="AC30" s="52">
        <f>IF(AQ30="1",BI30,0)</f>
        <v>0</v>
      </c>
      <c r="AD30" s="52">
        <f>IF(AQ30="7",BH30,0)</f>
        <v>0</v>
      </c>
      <c r="AE30" s="52">
        <f>IF(AQ30="7",BI30,0)</f>
        <v>0</v>
      </c>
      <c r="AF30" s="52">
        <f>IF(AQ30="2",BH30,0)</f>
        <v>0</v>
      </c>
      <c r="AG30" s="52">
        <f>IF(AQ30="2",BI30,0)</f>
        <v>0</v>
      </c>
      <c r="AH30" s="52">
        <f>IF(AQ30="0",BJ30,0)</f>
        <v>0</v>
      </c>
      <c r="AI30" s="45"/>
      <c r="AJ30" s="3">
        <f>IF(AN30=0,J30,0)</f>
        <v>0</v>
      </c>
      <c r="AK30" s="3">
        <f>IF(AN30=15,J30,0)</f>
        <v>0</v>
      </c>
      <c r="AL30" s="3">
        <f>IF(AN30=21,J30,0)</f>
        <v>0</v>
      </c>
      <c r="AN30" s="52">
        <v>21</v>
      </c>
      <c r="AO30" s="52">
        <f>G30*0.726509081544369</f>
        <v>0</v>
      </c>
      <c r="AP30" s="52">
        <f>G30*(1-0.726509081544369)</f>
        <v>0</v>
      </c>
      <c r="AQ30" s="49" t="s">
        <v>7</v>
      </c>
      <c r="AV30" s="52">
        <f>AW30+AX30</f>
        <v>0</v>
      </c>
      <c r="AW30" s="52">
        <f>F30*AO30</f>
        <v>0</v>
      </c>
      <c r="AX30" s="52">
        <f>F30*AP30</f>
        <v>0</v>
      </c>
      <c r="AY30" s="53" t="s">
        <v>386</v>
      </c>
      <c r="AZ30" s="53" t="s">
        <v>412</v>
      </c>
      <c r="BA30" s="45" t="s">
        <v>420</v>
      </c>
      <c r="BC30" s="52">
        <f>AW30+AX30</f>
        <v>0</v>
      </c>
      <c r="BD30" s="52">
        <f>G30/(100-BE30)*100</f>
        <v>0</v>
      </c>
      <c r="BE30" s="52">
        <v>0</v>
      </c>
      <c r="BF30" s="52">
        <f>L30</f>
        <v>0.19623</v>
      </c>
      <c r="BH30" s="3">
        <f>F30*AO30</f>
        <v>0</v>
      </c>
      <c r="BI30" s="3">
        <f>F30*AP30</f>
        <v>0</v>
      </c>
      <c r="BJ30" s="3">
        <f>F30*G30</f>
        <v>0</v>
      </c>
    </row>
    <row r="31" spans="1:62" ht="12.75">
      <c r="A31" s="1" t="s">
        <v>20</v>
      </c>
      <c r="B31" s="1"/>
      <c r="C31" s="1" t="s">
        <v>98</v>
      </c>
      <c r="D31" s="1" t="s">
        <v>204</v>
      </c>
      <c r="E31" s="1" t="s">
        <v>290</v>
      </c>
      <c r="F31" s="3">
        <f>'Rozpočet - vybrané sloupce'!AR30</f>
        <v>1</v>
      </c>
      <c r="G31" s="3">
        <f>'Rozpočet - vybrané sloupce'!AW30</f>
        <v>0</v>
      </c>
      <c r="H31" s="3">
        <f>F31*AO31</f>
        <v>0</v>
      </c>
      <c r="I31" s="3">
        <f>F31*AP31</f>
        <v>0</v>
      </c>
      <c r="J31" s="3">
        <f>F31*G31</f>
        <v>0</v>
      </c>
      <c r="K31" s="3">
        <v>0.06625</v>
      </c>
      <c r="L31" s="3">
        <f>F31*K31</f>
        <v>0.06625</v>
      </c>
      <c r="M31" s="49" t="s">
        <v>369</v>
      </c>
      <c r="Z31" s="52">
        <f>IF(AQ31="5",BJ31,0)</f>
        <v>0</v>
      </c>
      <c r="AB31" s="52">
        <f>IF(AQ31="1",BH31,0)</f>
        <v>0</v>
      </c>
      <c r="AC31" s="52">
        <f>IF(AQ31="1",BI31,0)</f>
        <v>0</v>
      </c>
      <c r="AD31" s="52">
        <f>IF(AQ31="7",BH31,0)</f>
        <v>0</v>
      </c>
      <c r="AE31" s="52">
        <f>IF(AQ31="7",BI31,0)</f>
        <v>0</v>
      </c>
      <c r="AF31" s="52">
        <f>IF(AQ31="2",BH31,0)</f>
        <v>0</v>
      </c>
      <c r="AG31" s="52">
        <f>IF(AQ31="2",BI31,0)</f>
        <v>0</v>
      </c>
      <c r="AH31" s="52">
        <f>IF(AQ31="0",BJ31,0)</f>
        <v>0</v>
      </c>
      <c r="AI31" s="45"/>
      <c r="AJ31" s="3">
        <f>IF(AN31=0,J31,0)</f>
        <v>0</v>
      </c>
      <c r="AK31" s="3">
        <f>IF(AN31=15,J31,0)</f>
        <v>0</v>
      </c>
      <c r="AL31" s="3">
        <f>IF(AN31=21,J31,0)</f>
        <v>0</v>
      </c>
      <c r="AN31" s="52">
        <v>21</v>
      </c>
      <c r="AO31" s="52">
        <f>G31*0.734504126427677</f>
        <v>0</v>
      </c>
      <c r="AP31" s="52">
        <f>G31*(1-0.734504126427677)</f>
        <v>0</v>
      </c>
      <c r="AQ31" s="49" t="s">
        <v>7</v>
      </c>
      <c r="AV31" s="52">
        <f>AW31+AX31</f>
        <v>0</v>
      </c>
      <c r="AW31" s="52">
        <f>F31*AO31</f>
        <v>0</v>
      </c>
      <c r="AX31" s="52">
        <f>F31*AP31</f>
        <v>0</v>
      </c>
      <c r="AY31" s="53" t="s">
        <v>386</v>
      </c>
      <c r="AZ31" s="53" t="s">
        <v>412</v>
      </c>
      <c r="BA31" s="45" t="s">
        <v>420</v>
      </c>
      <c r="BC31" s="52">
        <f>AW31+AX31</f>
        <v>0</v>
      </c>
      <c r="BD31" s="52">
        <f>G31/(100-BE31)*100</f>
        <v>0</v>
      </c>
      <c r="BE31" s="52">
        <v>0</v>
      </c>
      <c r="BF31" s="52">
        <f>L31</f>
        <v>0.06625</v>
      </c>
      <c r="BH31" s="3">
        <f>F31*AO31</f>
        <v>0</v>
      </c>
      <c r="BI31" s="3">
        <f>F31*AP31</f>
        <v>0</v>
      </c>
      <c r="BJ31" s="3">
        <f>F31*G31</f>
        <v>0</v>
      </c>
    </row>
    <row r="32" spans="1:47" ht="12.75">
      <c r="A32" s="30"/>
      <c r="B32" s="36"/>
      <c r="C32" s="36" t="s">
        <v>99</v>
      </c>
      <c r="D32" s="36" t="s">
        <v>205</v>
      </c>
      <c r="E32" s="30" t="s">
        <v>6</v>
      </c>
      <c r="F32" s="30" t="s">
        <v>6</v>
      </c>
      <c r="G32" s="30" t="s">
        <v>6</v>
      </c>
      <c r="H32" s="6">
        <f>SUM(H33:H37)</f>
        <v>0</v>
      </c>
      <c r="I32" s="6">
        <f>SUM(I33:I37)</f>
        <v>0</v>
      </c>
      <c r="J32" s="6">
        <f>SUM(J33:J37)</f>
        <v>0</v>
      </c>
      <c r="K32" s="45"/>
      <c r="L32" s="6">
        <f>SUM(L33:L37)</f>
        <v>0.60241</v>
      </c>
      <c r="M32" s="45"/>
      <c r="AI32" s="45"/>
      <c r="AS32" s="6">
        <f>SUM(AJ33:AJ37)</f>
        <v>0</v>
      </c>
      <c r="AT32" s="6">
        <f>SUM(AK33:AK37)</f>
        <v>0</v>
      </c>
      <c r="AU32" s="6">
        <f>SUM(AL33:AL37)</f>
        <v>0</v>
      </c>
    </row>
    <row r="33" spans="1:62" ht="12.75">
      <c r="A33" s="1" t="s">
        <v>21</v>
      </c>
      <c r="B33" s="1"/>
      <c r="C33" s="1" t="s">
        <v>100</v>
      </c>
      <c r="D33" s="1" t="s">
        <v>206</v>
      </c>
      <c r="E33" s="1" t="s">
        <v>292</v>
      </c>
      <c r="F33" s="3">
        <f>'Rozpočet - vybrané sloupce'!AR32</f>
        <v>18</v>
      </c>
      <c r="G33" s="3">
        <f>'Rozpočet - vybrané sloupce'!AW32</f>
        <v>0</v>
      </c>
      <c r="H33" s="3">
        <f>F33*AO33</f>
        <v>0</v>
      </c>
      <c r="I33" s="3">
        <f>F33*AP33</f>
        <v>0</v>
      </c>
      <c r="J33" s="3">
        <f>F33*G33</f>
        <v>0</v>
      </c>
      <c r="K33" s="3">
        <v>0.03065</v>
      </c>
      <c r="L33" s="3">
        <f>F33*K33</f>
        <v>0.5517</v>
      </c>
      <c r="M33" s="49" t="s">
        <v>369</v>
      </c>
      <c r="Z33" s="52">
        <f>IF(AQ33="5",BJ33,0)</f>
        <v>0</v>
      </c>
      <c r="AB33" s="52">
        <f>IF(AQ33="1",BH33,0)</f>
        <v>0</v>
      </c>
      <c r="AC33" s="52">
        <f>IF(AQ33="1",BI33,0)</f>
        <v>0</v>
      </c>
      <c r="AD33" s="52">
        <f>IF(AQ33="7",BH33,0)</f>
        <v>0</v>
      </c>
      <c r="AE33" s="52">
        <f>IF(AQ33="7",BI33,0)</f>
        <v>0</v>
      </c>
      <c r="AF33" s="52">
        <f>IF(AQ33="2",BH33,0)</f>
        <v>0</v>
      </c>
      <c r="AG33" s="52">
        <f>IF(AQ33="2",BI33,0)</f>
        <v>0</v>
      </c>
      <c r="AH33" s="52">
        <f>IF(AQ33="0",BJ33,0)</f>
        <v>0</v>
      </c>
      <c r="AI33" s="45"/>
      <c r="AJ33" s="3">
        <f>IF(AN33=0,J33,0)</f>
        <v>0</v>
      </c>
      <c r="AK33" s="3">
        <f>IF(AN33=15,J33,0)</f>
        <v>0</v>
      </c>
      <c r="AL33" s="3">
        <f>IF(AN33=21,J33,0)</f>
        <v>0</v>
      </c>
      <c r="AN33" s="52">
        <v>21</v>
      </c>
      <c r="AO33" s="52">
        <f>G33*0</f>
        <v>0</v>
      </c>
      <c r="AP33" s="52">
        <f>G33*(1-0)</f>
        <v>0</v>
      </c>
      <c r="AQ33" s="49" t="s">
        <v>13</v>
      </c>
      <c r="AV33" s="52">
        <f>AW33+AX33</f>
        <v>0</v>
      </c>
      <c r="AW33" s="52">
        <f>F33*AO33</f>
        <v>0</v>
      </c>
      <c r="AX33" s="52">
        <f>F33*AP33</f>
        <v>0</v>
      </c>
      <c r="AY33" s="53" t="s">
        <v>387</v>
      </c>
      <c r="AZ33" s="53" t="s">
        <v>413</v>
      </c>
      <c r="BA33" s="45" t="s">
        <v>420</v>
      </c>
      <c r="BC33" s="52">
        <f>AW33+AX33</f>
        <v>0</v>
      </c>
      <c r="BD33" s="52">
        <f>G33/(100-BE33)*100</f>
        <v>0</v>
      </c>
      <c r="BE33" s="52">
        <v>0</v>
      </c>
      <c r="BF33" s="52">
        <f>L33</f>
        <v>0.5517</v>
      </c>
      <c r="BH33" s="3">
        <f>F33*AO33</f>
        <v>0</v>
      </c>
      <c r="BI33" s="3">
        <f>F33*AP33</f>
        <v>0</v>
      </c>
      <c r="BJ33" s="3">
        <f>F33*G33</f>
        <v>0</v>
      </c>
    </row>
    <row r="34" spans="1:62" ht="12.75">
      <c r="A34" s="1" t="s">
        <v>22</v>
      </c>
      <c r="B34" s="1"/>
      <c r="C34" s="1" t="s">
        <v>101</v>
      </c>
      <c r="D34" s="1" t="s">
        <v>207</v>
      </c>
      <c r="E34" s="1" t="s">
        <v>292</v>
      </c>
      <c r="F34" s="3">
        <f>'Rozpočet - vybrané sloupce'!AR33</f>
        <v>24</v>
      </c>
      <c r="G34" s="3">
        <f>'Rozpočet - vybrané sloupce'!AW33</f>
        <v>0</v>
      </c>
      <c r="H34" s="3">
        <f>F34*AO34</f>
        <v>0</v>
      </c>
      <c r="I34" s="3">
        <f>F34*AP34</f>
        <v>0</v>
      </c>
      <c r="J34" s="3">
        <f>F34*G34</f>
        <v>0</v>
      </c>
      <c r="K34" s="3">
        <v>0.00198</v>
      </c>
      <c r="L34" s="3">
        <f>F34*K34</f>
        <v>0.04752</v>
      </c>
      <c r="M34" s="49" t="s">
        <v>369</v>
      </c>
      <c r="Z34" s="52">
        <f>IF(AQ34="5",BJ34,0)</f>
        <v>0</v>
      </c>
      <c r="AB34" s="52">
        <f>IF(AQ34="1",BH34,0)</f>
        <v>0</v>
      </c>
      <c r="AC34" s="52">
        <f>IF(AQ34="1",BI34,0)</f>
        <v>0</v>
      </c>
      <c r="AD34" s="52">
        <f>IF(AQ34="7",BH34,0)</f>
        <v>0</v>
      </c>
      <c r="AE34" s="52">
        <f>IF(AQ34="7",BI34,0)</f>
        <v>0</v>
      </c>
      <c r="AF34" s="52">
        <f>IF(AQ34="2",BH34,0)</f>
        <v>0</v>
      </c>
      <c r="AG34" s="52">
        <f>IF(AQ34="2",BI34,0)</f>
        <v>0</v>
      </c>
      <c r="AH34" s="52">
        <f>IF(AQ34="0",BJ34,0)</f>
        <v>0</v>
      </c>
      <c r="AI34" s="45"/>
      <c r="AJ34" s="3">
        <f>IF(AN34=0,J34,0)</f>
        <v>0</v>
      </c>
      <c r="AK34" s="3">
        <f>IF(AN34=15,J34,0)</f>
        <v>0</v>
      </c>
      <c r="AL34" s="3">
        <f>IF(AN34=21,J34,0)</f>
        <v>0</v>
      </c>
      <c r="AN34" s="52">
        <v>21</v>
      </c>
      <c r="AO34" s="52">
        <f>G34*0.472152466367713</f>
        <v>0</v>
      </c>
      <c r="AP34" s="52">
        <f>G34*(1-0.472152466367713)</f>
        <v>0</v>
      </c>
      <c r="AQ34" s="49" t="s">
        <v>13</v>
      </c>
      <c r="AV34" s="52">
        <f>AW34+AX34</f>
        <v>0</v>
      </c>
      <c r="AW34" s="52">
        <f>F34*AO34</f>
        <v>0</v>
      </c>
      <c r="AX34" s="52">
        <f>F34*AP34</f>
        <v>0</v>
      </c>
      <c r="AY34" s="53" t="s">
        <v>387</v>
      </c>
      <c r="AZ34" s="53" t="s">
        <v>413</v>
      </c>
      <c r="BA34" s="45" t="s">
        <v>420</v>
      </c>
      <c r="BC34" s="52">
        <f>AW34+AX34</f>
        <v>0</v>
      </c>
      <c r="BD34" s="52">
        <f>G34/(100-BE34)*100</f>
        <v>0</v>
      </c>
      <c r="BE34" s="52">
        <v>0</v>
      </c>
      <c r="BF34" s="52">
        <f>L34</f>
        <v>0.04752</v>
      </c>
      <c r="BH34" s="3">
        <f>F34*AO34</f>
        <v>0</v>
      </c>
      <c r="BI34" s="3">
        <f>F34*AP34</f>
        <v>0</v>
      </c>
      <c r="BJ34" s="3">
        <f>F34*G34</f>
        <v>0</v>
      </c>
    </row>
    <row r="35" spans="1:62" ht="12.75">
      <c r="A35" s="1" t="s">
        <v>23</v>
      </c>
      <c r="B35" s="1"/>
      <c r="C35" s="1" t="s">
        <v>102</v>
      </c>
      <c r="D35" s="1" t="s">
        <v>208</v>
      </c>
      <c r="E35" s="1" t="s">
        <v>290</v>
      </c>
      <c r="F35" s="3">
        <f>'Rozpočet - vybrané sloupce'!AR34</f>
        <v>3</v>
      </c>
      <c r="G35" s="3">
        <f>'Rozpočet - vybrané sloupce'!AW34</f>
        <v>0</v>
      </c>
      <c r="H35" s="3">
        <f>F35*AO35</f>
        <v>0</v>
      </c>
      <c r="I35" s="3">
        <f>F35*AP35</f>
        <v>0</v>
      </c>
      <c r="J35" s="3">
        <f>F35*G35</f>
        <v>0</v>
      </c>
      <c r="K35" s="3">
        <v>0.00074</v>
      </c>
      <c r="L35" s="3">
        <f>F35*K35</f>
        <v>0.0022199999999999998</v>
      </c>
      <c r="M35" s="49" t="s">
        <v>369</v>
      </c>
      <c r="Z35" s="52">
        <f>IF(AQ35="5",BJ35,0)</f>
        <v>0</v>
      </c>
      <c r="AB35" s="52">
        <f>IF(AQ35="1",BH35,0)</f>
        <v>0</v>
      </c>
      <c r="AC35" s="52">
        <f>IF(AQ35="1",BI35,0)</f>
        <v>0</v>
      </c>
      <c r="AD35" s="52">
        <f>IF(AQ35="7",BH35,0)</f>
        <v>0</v>
      </c>
      <c r="AE35" s="52">
        <f>IF(AQ35="7",BI35,0)</f>
        <v>0</v>
      </c>
      <c r="AF35" s="52">
        <f>IF(AQ35="2",BH35,0)</f>
        <v>0</v>
      </c>
      <c r="AG35" s="52">
        <f>IF(AQ35="2",BI35,0)</f>
        <v>0</v>
      </c>
      <c r="AH35" s="52">
        <f>IF(AQ35="0",BJ35,0)</f>
        <v>0</v>
      </c>
      <c r="AI35" s="45"/>
      <c r="AJ35" s="3">
        <f>IF(AN35=0,J35,0)</f>
        <v>0</v>
      </c>
      <c r="AK35" s="3">
        <f>IF(AN35=15,J35,0)</f>
        <v>0</v>
      </c>
      <c r="AL35" s="3">
        <f>IF(AN35=21,J35,0)</f>
        <v>0</v>
      </c>
      <c r="AN35" s="52">
        <v>21</v>
      </c>
      <c r="AO35" s="52">
        <f>G35*0.804662095984329</f>
        <v>0</v>
      </c>
      <c r="AP35" s="52">
        <f>G35*(1-0.804662095984329)</f>
        <v>0</v>
      </c>
      <c r="AQ35" s="49" t="s">
        <v>13</v>
      </c>
      <c r="AV35" s="52">
        <f>AW35+AX35</f>
        <v>0</v>
      </c>
      <c r="AW35" s="52">
        <f>F35*AO35</f>
        <v>0</v>
      </c>
      <c r="AX35" s="52">
        <f>F35*AP35</f>
        <v>0</v>
      </c>
      <c r="AY35" s="53" t="s">
        <v>387</v>
      </c>
      <c r="AZ35" s="53" t="s">
        <v>413</v>
      </c>
      <c r="BA35" s="45" t="s">
        <v>420</v>
      </c>
      <c r="BC35" s="52">
        <f>AW35+AX35</f>
        <v>0</v>
      </c>
      <c r="BD35" s="52">
        <f>G35/(100-BE35)*100</f>
        <v>0</v>
      </c>
      <c r="BE35" s="52">
        <v>0</v>
      </c>
      <c r="BF35" s="52">
        <f>L35</f>
        <v>0.0022199999999999998</v>
      </c>
      <c r="BH35" s="3">
        <f>F35*AO35</f>
        <v>0</v>
      </c>
      <c r="BI35" s="3">
        <f>F35*AP35</f>
        <v>0</v>
      </c>
      <c r="BJ35" s="3">
        <f>F35*G35</f>
        <v>0</v>
      </c>
    </row>
    <row r="36" spans="1:62" ht="12.75">
      <c r="A36" s="1" t="s">
        <v>24</v>
      </c>
      <c r="B36" s="1"/>
      <c r="C36" s="1" t="s">
        <v>103</v>
      </c>
      <c r="D36" s="1" t="s">
        <v>209</v>
      </c>
      <c r="E36" s="1" t="s">
        <v>293</v>
      </c>
      <c r="F36" s="3">
        <f>'Rozpočet - vybrané sloupce'!AR35</f>
        <v>1</v>
      </c>
      <c r="G36" s="3">
        <f>'Rozpočet - vybrané sloupce'!AW35</f>
        <v>0</v>
      </c>
      <c r="H36" s="3">
        <f>F36*AO36</f>
        <v>0</v>
      </c>
      <c r="I36" s="3">
        <f>F36*AP36</f>
        <v>0</v>
      </c>
      <c r="J36" s="3">
        <f>F36*G36</f>
        <v>0</v>
      </c>
      <c r="K36" s="3">
        <v>0.00065</v>
      </c>
      <c r="L36" s="3">
        <f>F36*K36</f>
        <v>0.00065</v>
      </c>
      <c r="M36" s="49" t="s">
        <v>369</v>
      </c>
      <c r="Z36" s="52">
        <f>IF(AQ36="5",BJ36,0)</f>
        <v>0</v>
      </c>
      <c r="AB36" s="52">
        <f>IF(AQ36="1",BH36,0)</f>
        <v>0</v>
      </c>
      <c r="AC36" s="52">
        <f>IF(AQ36="1",BI36,0)</f>
        <v>0</v>
      </c>
      <c r="AD36" s="52">
        <f>IF(AQ36="7",BH36,0)</f>
        <v>0</v>
      </c>
      <c r="AE36" s="52">
        <f>IF(AQ36="7",BI36,0)</f>
        <v>0</v>
      </c>
      <c r="AF36" s="52">
        <f>IF(AQ36="2",BH36,0)</f>
        <v>0</v>
      </c>
      <c r="AG36" s="52">
        <f>IF(AQ36="2",BI36,0)</f>
        <v>0</v>
      </c>
      <c r="AH36" s="52">
        <f>IF(AQ36="0",BJ36,0)</f>
        <v>0</v>
      </c>
      <c r="AI36" s="45"/>
      <c r="AJ36" s="3">
        <f>IF(AN36=0,J36,0)</f>
        <v>0</v>
      </c>
      <c r="AK36" s="3">
        <f>IF(AN36=15,J36,0)</f>
        <v>0</v>
      </c>
      <c r="AL36" s="3">
        <f>IF(AN36=21,J36,0)</f>
        <v>0</v>
      </c>
      <c r="AN36" s="52">
        <v>21</v>
      </c>
      <c r="AO36" s="52">
        <f>G36*0.0264693333333333</f>
        <v>0</v>
      </c>
      <c r="AP36" s="52">
        <f>G36*(1-0.0264693333333333)</f>
        <v>0</v>
      </c>
      <c r="AQ36" s="49" t="s">
        <v>13</v>
      </c>
      <c r="AV36" s="52">
        <f>AW36+AX36</f>
        <v>0</v>
      </c>
      <c r="AW36" s="52">
        <f>F36*AO36</f>
        <v>0</v>
      </c>
      <c r="AX36" s="52">
        <f>F36*AP36</f>
        <v>0</v>
      </c>
      <c r="AY36" s="53" t="s">
        <v>387</v>
      </c>
      <c r="AZ36" s="53" t="s">
        <v>413</v>
      </c>
      <c r="BA36" s="45" t="s">
        <v>420</v>
      </c>
      <c r="BC36" s="52">
        <f>AW36+AX36</f>
        <v>0</v>
      </c>
      <c r="BD36" s="52">
        <f>G36/(100-BE36)*100</f>
        <v>0</v>
      </c>
      <c r="BE36" s="52">
        <v>0</v>
      </c>
      <c r="BF36" s="52">
        <f>L36</f>
        <v>0.00065</v>
      </c>
      <c r="BH36" s="3">
        <f>F36*AO36</f>
        <v>0</v>
      </c>
      <c r="BI36" s="3">
        <f>F36*AP36</f>
        <v>0</v>
      </c>
      <c r="BJ36" s="3">
        <f>F36*G36</f>
        <v>0</v>
      </c>
    </row>
    <row r="37" spans="1:62" ht="12.75">
      <c r="A37" s="1" t="s">
        <v>25</v>
      </c>
      <c r="B37" s="1"/>
      <c r="C37" s="1" t="s">
        <v>104</v>
      </c>
      <c r="D37" s="1" t="s">
        <v>210</v>
      </c>
      <c r="E37" s="1" t="s">
        <v>290</v>
      </c>
      <c r="F37" s="3">
        <f>'Rozpočet - vybrané sloupce'!AR36</f>
        <v>4</v>
      </c>
      <c r="G37" s="3">
        <f>'Rozpočet - vybrané sloupce'!AW36</f>
        <v>0</v>
      </c>
      <c r="H37" s="3">
        <f>F37*AO37</f>
        <v>0</v>
      </c>
      <c r="I37" s="3">
        <f>F37*AP37</f>
        <v>0</v>
      </c>
      <c r="J37" s="3">
        <f>F37*G37</f>
        <v>0</v>
      </c>
      <c r="K37" s="3">
        <v>8E-05</v>
      </c>
      <c r="L37" s="3">
        <f>F37*K37</f>
        <v>0.00032</v>
      </c>
      <c r="M37" s="49" t="s">
        <v>369</v>
      </c>
      <c r="Z37" s="52">
        <f>IF(AQ37="5",BJ37,0)</f>
        <v>0</v>
      </c>
      <c r="AB37" s="52">
        <f>IF(AQ37="1",BH37,0)</f>
        <v>0</v>
      </c>
      <c r="AC37" s="52">
        <f>IF(AQ37="1",BI37,0)</f>
        <v>0</v>
      </c>
      <c r="AD37" s="52">
        <f>IF(AQ37="7",BH37,0)</f>
        <v>0</v>
      </c>
      <c r="AE37" s="52">
        <f>IF(AQ37="7",BI37,0)</f>
        <v>0</v>
      </c>
      <c r="AF37" s="52">
        <f>IF(AQ37="2",BH37,0)</f>
        <v>0</v>
      </c>
      <c r="AG37" s="52">
        <f>IF(AQ37="2",BI37,0)</f>
        <v>0</v>
      </c>
      <c r="AH37" s="52">
        <f>IF(AQ37="0",BJ37,0)</f>
        <v>0</v>
      </c>
      <c r="AI37" s="45"/>
      <c r="AJ37" s="3">
        <f>IF(AN37=0,J37,0)</f>
        <v>0</v>
      </c>
      <c r="AK37" s="3">
        <f>IF(AN37=15,J37,0)</f>
        <v>0</v>
      </c>
      <c r="AL37" s="3">
        <f>IF(AN37=21,J37,0)</f>
        <v>0</v>
      </c>
      <c r="AN37" s="52">
        <v>21</v>
      </c>
      <c r="AO37" s="52">
        <f>G37*0.893816513761468</f>
        <v>0</v>
      </c>
      <c r="AP37" s="52">
        <f>G37*(1-0.893816513761468)</f>
        <v>0</v>
      </c>
      <c r="AQ37" s="49" t="s">
        <v>13</v>
      </c>
      <c r="AV37" s="52">
        <f>AW37+AX37</f>
        <v>0</v>
      </c>
      <c r="AW37" s="52">
        <f>F37*AO37</f>
        <v>0</v>
      </c>
      <c r="AX37" s="52">
        <f>F37*AP37</f>
        <v>0</v>
      </c>
      <c r="AY37" s="53" t="s">
        <v>387</v>
      </c>
      <c r="AZ37" s="53" t="s">
        <v>413</v>
      </c>
      <c r="BA37" s="45" t="s">
        <v>420</v>
      </c>
      <c r="BC37" s="52">
        <f>AW37+AX37</f>
        <v>0</v>
      </c>
      <c r="BD37" s="52">
        <f>G37/(100-BE37)*100</f>
        <v>0</v>
      </c>
      <c r="BE37" s="52">
        <v>0</v>
      </c>
      <c r="BF37" s="52">
        <f>L37</f>
        <v>0.00032</v>
      </c>
      <c r="BH37" s="3">
        <f>F37*AO37</f>
        <v>0</v>
      </c>
      <c r="BI37" s="3">
        <f>F37*AP37</f>
        <v>0</v>
      </c>
      <c r="BJ37" s="3">
        <f>F37*G37</f>
        <v>0</v>
      </c>
    </row>
    <row r="38" spans="1:47" ht="12.75">
      <c r="A38" s="30"/>
      <c r="B38" s="36"/>
      <c r="C38" s="36" t="s">
        <v>105</v>
      </c>
      <c r="D38" s="36" t="s">
        <v>211</v>
      </c>
      <c r="E38" s="30" t="s">
        <v>6</v>
      </c>
      <c r="F38" s="30" t="s">
        <v>6</v>
      </c>
      <c r="G38" s="30" t="s">
        <v>6</v>
      </c>
      <c r="H38" s="6">
        <f>SUM(H39:H39)</f>
        <v>0</v>
      </c>
      <c r="I38" s="6">
        <f>SUM(I39:I39)</f>
        <v>0</v>
      </c>
      <c r="J38" s="6">
        <f>SUM(J39:J39)</f>
        <v>0</v>
      </c>
      <c r="K38" s="45"/>
      <c r="L38" s="6">
        <f>SUM(L39:L39)</f>
        <v>0.11371</v>
      </c>
      <c r="M38" s="45"/>
      <c r="AI38" s="45"/>
      <c r="AS38" s="6">
        <f>SUM(AJ39:AJ39)</f>
        <v>0</v>
      </c>
      <c r="AT38" s="6">
        <f>SUM(AK39:AK39)</f>
        <v>0</v>
      </c>
      <c r="AU38" s="6">
        <f>SUM(AL39:AL39)</f>
        <v>0</v>
      </c>
    </row>
    <row r="39" spans="1:62" ht="12.75">
      <c r="A39" s="1" t="s">
        <v>26</v>
      </c>
      <c r="B39" s="1"/>
      <c r="C39" s="1" t="s">
        <v>106</v>
      </c>
      <c r="D39" s="1" t="s">
        <v>212</v>
      </c>
      <c r="E39" s="1" t="s">
        <v>293</v>
      </c>
      <c r="F39" s="3">
        <f>'Rozpočet - vybrané sloupce'!AR38</f>
        <v>1</v>
      </c>
      <c r="G39" s="3">
        <f>'Rozpočet - vybrané sloupce'!AW38</f>
        <v>0</v>
      </c>
      <c r="H39" s="3">
        <f>F39*AO39</f>
        <v>0</v>
      </c>
      <c r="I39" s="3">
        <f>F39*AP39</f>
        <v>0</v>
      </c>
      <c r="J39" s="3">
        <f>F39*G39</f>
        <v>0</v>
      </c>
      <c r="K39" s="3">
        <v>0.11371</v>
      </c>
      <c r="L39" s="3">
        <f>F39*K39</f>
        <v>0.11371</v>
      </c>
      <c r="M39" s="49" t="s">
        <v>369</v>
      </c>
      <c r="Z39" s="52">
        <f>IF(AQ39="5",BJ39,0)</f>
        <v>0</v>
      </c>
      <c r="AB39" s="52">
        <f>IF(AQ39="1",BH39,0)</f>
        <v>0</v>
      </c>
      <c r="AC39" s="52">
        <f>IF(AQ39="1",BI39,0)</f>
        <v>0</v>
      </c>
      <c r="AD39" s="52">
        <f>IF(AQ39="7",BH39,0)</f>
        <v>0</v>
      </c>
      <c r="AE39" s="52">
        <f>IF(AQ39="7",BI39,0)</f>
        <v>0</v>
      </c>
      <c r="AF39" s="52">
        <f>IF(AQ39="2",BH39,0)</f>
        <v>0</v>
      </c>
      <c r="AG39" s="52">
        <f>IF(AQ39="2",BI39,0)</f>
        <v>0</v>
      </c>
      <c r="AH39" s="52">
        <f>IF(AQ39="0",BJ39,0)</f>
        <v>0</v>
      </c>
      <c r="AI39" s="45"/>
      <c r="AJ39" s="3">
        <f>IF(AN39=0,J39,0)</f>
        <v>0</v>
      </c>
      <c r="AK39" s="3">
        <f>IF(AN39=15,J39,0)</f>
        <v>0</v>
      </c>
      <c r="AL39" s="3">
        <f>IF(AN39=21,J39,0)</f>
        <v>0</v>
      </c>
      <c r="AN39" s="52">
        <v>21</v>
      </c>
      <c r="AO39" s="52">
        <f>G39*0.956554666666667</f>
        <v>0</v>
      </c>
      <c r="AP39" s="52">
        <f>G39*(1-0.956554666666667)</f>
        <v>0</v>
      </c>
      <c r="AQ39" s="49" t="s">
        <v>13</v>
      </c>
      <c r="AV39" s="52">
        <f>AW39+AX39</f>
        <v>0</v>
      </c>
      <c r="AW39" s="52">
        <f>F39*AO39</f>
        <v>0</v>
      </c>
      <c r="AX39" s="52">
        <f>F39*AP39</f>
        <v>0</v>
      </c>
      <c r="AY39" s="53" t="s">
        <v>388</v>
      </c>
      <c r="AZ39" s="53" t="s">
        <v>413</v>
      </c>
      <c r="BA39" s="45" t="s">
        <v>420</v>
      </c>
      <c r="BC39" s="52">
        <f>AW39+AX39</f>
        <v>0</v>
      </c>
      <c r="BD39" s="52">
        <f>G39/(100-BE39)*100</f>
        <v>0</v>
      </c>
      <c r="BE39" s="52">
        <v>0</v>
      </c>
      <c r="BF39" s="52">
        <f>L39</f>
        <v>0.11371</v>
      </c>
      <c r="BH39" s="3">
        <f>F39*AO39</f>
        <v>0</v>
      </c>
      <c r="BI39" s="3">
        <f>F39*AP39</f>
        <v>0</v>
      </c>
      <c r="BJ39" s="3">
        <f>F39*G39</f>
        <v>0</v>
      </c>
    </row>
    <row r="40" spans="1:47" ht="12.75">
      <c r="A40" s="30"/>
      <c r="B40" s="36"/>
      <c r="C40" s="36" t="s">
        <v>107</v>
      </c>
      <c r="D40" s="36" t="s">
        <v>213</v>
      </c>
      <c r="E40" s="30" t="s">
        <v>6</v>
      </c>
      <c r="F40" s="30" t="s">
        <v>6</v>
      </c>
      <c r="G40" s="30" t="s">
        <v>6</v>
      </c>
      <c r="H40" s="6">
        <f>SUM(H41:H47)</f>
        <v>0</v>
      </c>
      <c r="I40" s="6">
        <f>SUM(I41:I47)</f>
        <v>0</v>
      </c>
      <c r="J40" s="6">
        <f>SUM(J41:J47)</f>
        <v>0</v>
      </c>
      <c r="K40" s="45"/>
      <c r="L40" s="6">
        <f>SUM(L41:L47)</f>
        <v>0.5246700000000001</v>
      </c>
      <c r="M40" s="45"/>
      <c r="AI40" s="45"/>
      <c r="AS40" s="6">
        <f>SUM(AJ41:AJ47)</f>
        <v>0</v>
      </c>
      <c r="AT40" s="6">
        <f>SUM(AK41:AK47)</f>
        <v>0</v>
      </c>
      <c r="AU40" s="6">
        <f>SUM(AL41:AL47)</f>
        <v>0</v>
      </c>
    </row>
    <row r="41" spans="1:62" ht="12.75">
      <c r="A41" s="1" t="s">
        <v>27</v>
      </c>
      <c r="B41" s="1"/>
      <c r="C41" s="1" t="s">
        <v>108</v>
      </c>
      <c r="D41" s="1" t="s">
        <v>214</v>
      </c>
      <c r="E41" s="1" t="s">
        <v>294</v>
      </c>
      <c r="F41" s="3">
        <f>'Rozpočet - vybrané sloupce'!AR40</f>
        <v>4</v>
      </c>
      <c r="G41" s="3">
        <f>'Rozpočet - vybrané sloupce'!AW40</f>
        <v>0</v>
      </c>
      <c r="H41" s="3">
        <f aca="true" t="shared" si="24" ref="H41:H47">F41*AO41</f>
        <v>0</v>
      </c>
      <c r="I41" s="3">
        <f aca="true" t="shared" si="25" ref="I41:I47">F41*AP41</f>
        <v>0</v>
      </c>
      <c r="J41" s="3">
        <f aca="true" t="shared" si="26" ref="J41:J47">F41*G41</f>
        <v>0</v>
      </c>
      <c r="K41" s="3">
        <v>0.01933</v>
      </c>
      <c r="L41" s="3">
        <f aca="true" t="shared" si="27" ref="L41:L47">F41*K41</f>
        <v>0.07732</v>
      </c>
      <c r="M41" s="49" t="s">
        <v>369</v>
      </c>
      <c r="Z41" s="52">
        <f aca="true" t="shared" si="28" ref="Z41:Z47">IF(AQ41="5",BJ41,0)</f>
        <v>0</v>
      </c>
      <c r="AB41" s="52">
        <f aca="true" t="shared" si="29" ref="AB41:AB47">IF(AQ41="1",BH41,0)</f>
        <v>0</v>
      </c>
      <c r="AC41" s="52">
        <f aca="true" t="shared" si="30" ref="AC41:AC47">IF(AQ41="1",BI41,0)</f>
        <v>0</v>
      </c>
      <c r="AD41" s="52">
        <f aca="true" t="shared" si="31" ref="AD41:AD47">IF(AQ41="7",BH41,0)</f>
        <v>0</v>
      </c>
      <c r="AE41" s="52">
        <f aca="true" t="shared" si="32" ref="AE41:AE47">IF(AQ41="7",BI41,0)</f>
        <v>0</v>
      </c>
      <c r="AF41" s="52">
        <f aca="true" t="shared" si="33" ref="AF41:AF47">IF(AQ41="2",BH41,0)</f>
        <v>0</v>
      </c>
      <c r="AG41" s="52">
        <f aca="true" t="shared" si="34" ref="AG41:AG47">IF(AQ41="2",BI41,0)</f>
        <v>0</v>
      </c>
      <c r="AH41" s="52">
        <f aca="true" t="shared" si="35" ref="AH41:AH47">IF(AQ41="0",BJ41,0)</f>
        <v>0</v>
      </c>
      <c r="AI41" s="45"/>
      <c r="AJ41" s="3">
        <f aca="true" t="shared" si="36" ref="AJ41:AJ47">IF(AN41=0,J41,0)</f>
        <v>0</v>
      </c>
      <c r="AK41" s="3">
        <f aca="true" t="shared" si="37" ref="AK41:AK47">IF(AN41=15,J41,0)</f>
        <v>0</v>
      </c>
      <c r="AL41" s="3">
        <f aca="true" t="shared" si="38" ref="AL41:AL47">IF(AN41=21,J41,0)</f>
        <v>0</v>
      </c>
      <c r="AN41" s="52">
        <v>21</v>
      </c>
      <c r="AO41" s="52">
        <f>G41*0</f>
        <v>0</v>
      </c>
      <c r="AP41" s="52">
        <f>G41*(1-0)</f>
        <v>0</v>
      </c>
      <c r="AQ41" s="49" t="s">
        <v>13</v>
      </c>
      <c r="AV41" s="52">
        <f aca="true" t="shared" si="39" ref="AV41:AV47">AW41+AX41</f>
        <v>0</v>
      </c>
      <c r="AW41" s="52">
        <f aca="true" t="shared" si="40" ref="AW41:AW47">F41*AO41</f>
        <v>0</v>
      </c>
      <c r="AX41" s="52">
        <f aca="true" t="shared" si="41" ref="AX41:AX47">F41*AP41</f>
        <v>0</v>
      </c>
      <c r="AY41" s="53" t="s">
        <v>389</v>
      </c>
      <c r="AZ41" s="53" t="s">
        <v>413</v>
      </c>
      <c r="BA41" s="45" t="s">
        <v>420</v>
      </c>
      <c r="BC41" s="52">
        <f aca="true" t="shared" si="42" ref="BC41:BC47">AW41+AX41</f>
        <v>0</v>
      </c>
      <c r="BD41" s="52">
        <f aca="true" t="shared" si="43" ref="BD41:BD47">G41/(100-BE41)*100</f>
        <v>0</v>
      </c>
      <c r="BE41" s="52">
        <v>0</v>
      </c>
      <c r="BF41" s="52">
        <f aca="true" t="shared" si="44" ref="BF41:BF47">L41</f>
        <v>0.07732</v>
      </c>
      <c r="BH41" s="3">
        <f aca="true" t="shared" si="45" ref="BH41:BH47">F41*AO41</f>
        <v>0</v>
      </c>
      <c r="BI41" s="3">
        <f aca="true" t="shared" si="46" ref="BI41:BI47">F41*AP41</f>
        <v>0</v>
      </c>
      <c r="BJ41" s="3">
        <f aca="true" t="shared" si="47" ref="BJ41:BJ47">F41*G41</f>
        <v>0</v>
      </c>
    </row>
    <row r="42" spans="1:62" ht="12.75">
      <c r="A42" s="1" t="s">
        <v>28</v>
      </c>
      <c r="B42" s="1"/>
      <c r="C42" s="1" t="s">
        <v>109</v>
      </c>
      <c r="D42" s="1" t="s">
        <v>215</v>
      </c>
      <c r="E42" s="1" t="s">
        <v>294</v>
      </c>
      <c r="F42" s="3">
        <f>'Rozpočet - vybrané sloupce'!AR41</f>
        <v>1</v>
      </c>
      <c r="G42" s="3">
        <f>'Rozpočet - vybrané sloupce'!AW41</f>
        <v>0</v>
      </c>
      <c r="H42" s="3">
        <f t="shared" si="24"/>
        <v>0</v>
      </c>
      <c r="I42" s="3">
        <f t="shared" si="25"/>
        <v>0</v>
      </c>
      <c r="J42" s="3">
        <f t="shared" si="26"/>
        <v>0</v>
      </c>
      <c r="K42" s="3">
        <v>0.21768</v>
      </c>
      <c r="L42" s="3">
        <f t="shared" si="27"/>
        <v>0.21768</v>
      </c>
      <c r="M42" s="49" t="s">
        <v>369</v>
      </c>
      <c r="Z42" s="52">
        <f t="shared" si="28"/>
        <v>0</v>
      </c>
      <c r="AB42" s="52">
        <f t="shared" si="29"/>
        <v>0</v>
      </c>
      <c r="AC42" s="52">
        <f t="shared" si="30"/>
        <v>0</v>
      </c>
      <c r="AD42" s="52">
        <f t="shared" si="31"/>
        <v>0</v>
      </c>
      <c r="AE42" s="52">
        <f t="shared" si="32"/>
        <v>0</v>
      </c>
      <c r="AF42" s="52">
        <f t="shared" si="33"/>
        <v>0</v>
      </c>
      <c r="AG42" s="52">
        <f t="shared" si="34"/>
        <v>0</v>
      </c>
      <c r="AH42" s="52">
        <f t="shared" si="35"/>
        <v>0</v>
      </c>
      <c r="AI42" s="45"/>
      <c r="AJ42" s="3">
        <f t="shared" si="36"/>
        <v>0</v>
      </c>
      <c r="AK42" s="3">
        <f t="shared" si="37"/>
        <v>0</v>
      </c>
      <c r="AL42" s="3">
        <f t="shared" si="38"/>
        <v>0</v>
      </c>
      <c r="AN42" s="52">
        <v>21</v>
      </c>
      <c r="AO42" s="52">
        <f>G42*0</f>
        <v>0</v>
      </c>
      <c r="AP42" s="52">
        <f>G42*(1-0)</f>
        <v>0</v>
      </c>
      <c r="AQ42" s="49" t="s">
        <v>13</v>
      </c>
      <c r="AV42" s="52">
        <f t="shared" si="39"/>
        <v>0</v>
      </c>
      <c r="AW42" s="52">
        <f t="shared" si="40"/>
        <v>0</v>
      </c>
      <c r="AX42" s="52">
        <f t="shared" si="41"/>
        <v>0</v>
      </c>
      <c r="AY42" s="53" t="s">
        <v>389</v>
      </c>
      <c r="AZ42" s="53" t="s">
        <v>413</v>
      </c>
      <c r="BA42" s="45" t="s">
        <v>420</v>
      </c>
      <c r="BC42" s="52">
        <f t="shared" si="42"/>
        <v>0</v>
      </c>
      <c r="BD42" s="52">
        <f t="shared" si="43"/>
        <v>0</v>
      </c>
      <c r="BE42" s="52">
        <v>0</v>
      </c>
      <c r="BF42" s="52">
        <f t="shared" si="44"/>
        <v>0.21768</v>
      </c>
      <c r="BH42" s="3">
        <f t="shared" si="45"/>
        <v>0</v>
      </c>
      <c r="BI42" s="3">
        <f t="shared" si="46"/>
        <v>0</v>
      </c>
      <c r="BJ42" s="3">
        <f t="shared" si="47"/>
        <v>0</v>
      </c>
    </row>
    <row r="43" spans="1:62" ht="12.75">
      <c r="A43" s="1" t="s">
        <v>29</v>
      </c>
      <c r="B43" s="1"/>
      <c r="C43" s="1" t="s">
        <v>110</v>
      </c>
      <c r="D43" s="1" t="s">
        <v>216</v>
      </c>
      <c r="E43" s="1" t="s">
        <v>294</v>
      </c>
      <c r="F43" s="3">
        <f>'Rozpočet - vybrané sloupce'!AR42</f>
        <v>1</v>
      </c>
      <c r="G43" s="3">
        <f>'Rozpočet - vybrané sloupce'!AW42</f>
        <v>0</v>
      </c>
      <c r="H43" s="3">
        <f t="shared" si="24"/>
        <v>0</v>
      </c>
      <c r="I43" s="3">
        <f t="shared" si="25"/>
        <v>0</v>
      </c>
      <c r="J43" s="3">
        <f t="shared" si="26"/>
        <v>0</v>
      </c>
      <c r="K43" s="3">
        <v>0.01701</v>
      </c>
      <c r="L43" s="3">
        <f t="shared" si="27"/>
        <v>0.01701</v>
      </c>
      <c r="M43" s="49" t="s">
        <v>369</v>
      </c>
      <c r="Z43" s="52">
        <f t="shared" si="28"/>
        <v>0</v>
      </c>
      <c r="AB43" s="52">
        <f t="shared" si="29"/>
        <v>0</v>
      </c>
      <c r="AC43" s="52">
        <f t="shared" si="30"/>
        <v>0</v>
      </c>
      <c r="AD43" s="52">
        <f t="shared" si="31"/>
        <v>0</v>
      </c>
      <c r="AE43" s="52">
        <f t="shared" si="32"/>
        <v>0</v>
      </c>
      <c r="AF43" s="52">
        <f t="shared" si="33"/>
        <v>0</v>
      </c>
      <c r="AG43" s="52">
        <f t="shared" si="34"/>
        <v>0</v>
      </c>
      <c r="AH43" s="52">
        <f t="shared" si="35"/>
        <v>0</v>
      </c>
      <c r="AI43" s="45"/>
      <c r="AJ43" s="3">
        <f t="shared" si="36"/>
        <v>0</v>
      </c>
      <c r="AK43" s="3">
        <f t="shared" si="37"/>
        <v>0</v>
      </c>
      <c r="AL43" s="3">
        <f t="shared" si="38"/>
        <v>0</v>
      </c>
      <c r="AN43" s="52">
        <v>21</v>
      </c>
      <c r="AO43" s="52">
        <f>G43*0.741403162055336</f>
        <v>0</v>
      </c>
      <c r="AP43" s="52">
        <f>G43*(1-0.741403162055336)</f>
        <v>0</v>
      </c>
      <c r="AQ43" s="49" t="s">
        <v>13</v>
      </c>
      <c r="AV43" s="52">
        <f t="shared" si="39"/>
        <v>0</v>
      </c>
      <c r="AW43" s="52">
        <f t="shared" si="40"/>
        <v>0</v>
      </c>
      <c r="AX43" s="52">
        <f t="shared" si="41"/>
        <v>0</v>
      </c>
      <c r="AY43" s="53" t="s">
        <v>389</v>
      </c>
      <c r="AZ43" s="53" t="s">
        <v>413</v>
      </c>
      <c r="BA43" s="45" t="s">
        <v>420</v>
      </c>
      <c r="BC43" s="52">
        <f t="shared" si="42"/>
        <v>0</v>
      </c>
      <c r="BD43" s="52">
        <f t="shared" si="43"/>
        <v>0</v>
      </c>
      <c r="BE43" s="52">
        <v>0</v>
      </c>
      <c r="BF43" s="52">
        <f t="shared" si="44"/>
        <v>0.01701</v>
      </c>
      <c r="BH43" s="3">
        <f t="shared" si="45"/>
        <v>0</v>
      </c>
      <c r="BI43" s="3">
        <f t="shared" si="46"/>
        <v>0</v>
      </c>
      <c r="BJ43" s="3">
        <f t="shared" si="47"/>
        <v>0</v>
      </c>
    </row>
    <row r="44" spans="1:62" ht="12.75">
      <c r="A44" s="1" t="s">
        <v>30</v>
      </c>
      <c r="B44" s="1"/>
      <c r="C44" s="1" t="s">
        <v>111</v>
      </c>
      <c r="D44" s="1" t="s">
        <v>217</v>
      </c>
      <c r="E44" s="1" t="s">
        <v>290</v>
      </c>
      <c r="F44" s="3">
        <f>'Rozpočet - vybrané sloupce'!AR43</f>
        <v>1</v>
      </c>
      <c r="G44" s="3">
        <f>'Rozpočet - vybrané sloupce'!AW43</f>
        <v>0</v>
      </c>
      <c r="H44" s="3">
        <f t="shared" si="24"/>
        <v>0</v>
      </c>
      <c r="I44" s="3">
        <f t="shared" si="25"/>
        <v>0</v>
      </c>
      <c r="J44" s="3">
        <f t="shared" si="26"/>
        <v>0</v>
      </c>
      <c r="K44" s="3">
        <v>0.0013</v>
      </c>
      <c r="L44" s="3">
        <f t="shared" si="27"/>
        <v>0.0013</v>
      </c>
      <c r="M44" s="49" t="s">
        <v>369</v>
      </c>
      <c r="Z44" s="52">
        <f t="shared" si="28"/>
        <v>0</v>
      </c>
      <c r="AB44" s="52">
        <f t="shared" si="29"/>
        <v>0</v>
      </c>
      <c r="AC44" s="52">
        <f t="shared" si="30"/>
        <v>0</v>
      </c>
      <c r="AD44" s="52">
        <f t="shared" si="31"/>
        <v>0</v>
      </c>
      <c r="AE44" s="52">
        <f t="shared" si="32"/>
        <v>0</v>
      </c>
      <c r="AF44" s="52">
        <f t="shared" si="33"/>
        <v>0</v>
      </c>
      <c r="AG44" s="52">
        <f t="shared" si="34"/>
        <v>0</v>
      </c>
      <c r="AH44" s="52">
        <f t="shared" si="35"/>
        <v>0</v>
      </c>
      <c r="AI44" s="45"/>
      <c r="AJ44" s="3">
        <f t="shared" si="36"/>
        <v>0</v>
      </c>
      <c r="AK44" s="3">
        <f t="shared" si="37"/>
        <v>0</v>
      </c>
      <c r="AL44" s="3">
        <f t="shared" si="38"/>
        <v>0</v>
      </c>
      <c r="AN44" s="52">
        <v>21</v>
      </c>
      <c r="AO44" s="52">
        <f>G44*0.80459595959596</f>
        <v>0</v>
      </c>
      <c r="AP44" s="52">
        <f>G44*(1-0.80459595959596)</f>
        <v>0</v>
      </c>
      <c r="AQ44" s="49" t="s">
        <v>13</v>
      </c>
      <c r="AV44" s="52">
        <f t="shared" si="39"/>
        <v>0</v>
      </c>
      <c r="AW44" s="52">
        <f t="shared" si="40"/>
        <v>0</v>
      </c>
      <c r="AX44" s="52">
        <f t="shared" si="41"/>
        <v>0</v>
      </c>
      <c r="AY44" s="53" t="s">
        <v>389</v>
      </c>
      <c r="AZ44" s="53" t="s">
        <v>413</v>
      </c>
      <c r="BA44" s="45" t="s">
        <v>420</v>
      </c>
      <c r="BC44" s="52">
        <f t="shared" si="42"/>
        <v>0</v>
      </c>
      <c r="BD44" s="52">
        <f t="shared" si="43"/>
        <v>0</v>
      </c>
      <c r="BE44" s="52">
        <v>0</v>
      </c>
      <c r="BF44" s="52">
        <f t="shared" si="44"/>
        <v>0.0013</v>
      </c>
      <c r="BH44" s="3">
        <f t="shared" si="45"/>
        <v>0</v>
      </c>
      <c r="BI44" s="3">
        <f t="shared" si="46"/>
        <v>0</v>
      </c>
      <c r="BJ44" s="3">
        <f t="shared" si="47"/>
        <v>0</v>
      </c>
    </row>
    <row r="45" spans="1:62" ht="12.75">
      <c r="A45" s="1" t="s">
        <v>31</v>
      </c>
      <c r="B45" s="1"/>
      <c r="C45" s="1" t="s">
        <v>112</v>
      </c>
      <c r="D45" s="1" t="s">
        <v>218</v>
      </c>
      <c r="E45" s="1" t="s">
        <v>294</v>
      </c>
      <c r="F45" s="3">
        <f>'Rozpočet - vybrané sloupce'!AR44</f>
        <v>4</v>
      </c>
      <c r="G45" s="3">
        <f>'Rozpočet - vybrané sloupce'!AW44</f>
        <v>0</v>
      </c>
      <c r="H45" s="3">
        <f t="shared" si="24"/>
        <v>0</v>
      </c>
      <c r="I45" s="3">
        <f t="shared" si="25"/>
        <v>0</v>
      </c>
      <c r="J45" s="3">
        <f t="shared" si="26"/>
        <v>0</v>
      </c>
      <c r="K45" s="3">
        <v>0.02794</v>
      </c>
      <c r="L45" s="3">
        <f t="shared" si="27"/>
        <v>0.11176</v>
      </c>
      <c r="M45" s="49" t="s">
        <v>369</v>
      </c>
      <c r="Z45" s="52">
        <f t="shared" si="28"/>
        <v>0</v>
      </c>
      <c r="AB45" s="52">
        <f t="shared" si="29"/>
        <v>0</v>
      </c>
      <c r="AC45" s="52">
        <f t="shared" si="30"/>
        <v>0</v>
      </c>
      <c r="AD45" s="52">
        <f t="shared" si="31"/>
        <v>0</v>
      </c>
      <c r="AE45" s="52">
        <f t="shared" si="32"/>
        <v>0</v>
      </c>
      <c r="AF45" s="52">
        <f t="shared" si="33"/>
        <v>0</v>
      </c>
      <c r="AG45" s="52">
        <f t="shared" si="34"/>
        <v>0</v>
      </c>
      <c r="AH45" s="52">
        <f t="shared" si="35"/>
        <v>0</v>
      </c>
      <c r="AI45" s="45"/>
      <c r="AJ45" s="3">
        <f t="shared" si="36"/>
        <v>0</v>
      </c>
      <c r="AK45" s="3">
        <f t="shared" si="37"/>
        <v>0</v>
      </c>
      <c r="AL45" s="3">
        <f t="shared" si="38"/>
        <v>0</v>
      </c>
      <c r="AN45" s="52">
        <v>21</v>
      </c>
      <c r="AO45" s="52">
        <f>G45*0.855227356746765</f>
        <v>0</v>
      </c>
      <c r="AP45" s="52">
        <f>G45*(1-0.855227356746765)</f>
        <v>0</v>
      </c>
      <c r="AQ45" s="49" t="s">
        <v>13</v>
      </c>
      <c r="AV45" s="52">
        <f t="shared" si="39"/>
        <v>0</v>
      </c>
      <c r="AW45" s="52">
        <f t="shared" si="40"/>
        <v>0</v>
      </c>
      <c r="AX45" s="52">
        <f t="shared" si="41"/>
        <v>0</v>
      </c>
      <c r="AY45" s="53" t="s">
        <v>389</v>
      </c>
      <c r="AZ45" s="53" t="s">
        <v>413</v>
      </c>
      <c r="BA45" s="45" t="s">
        <v>420</v>
      </c>
      <c r="BC45" s="52">
        <f t="shared" si="42"/>
        <v>0</v>
      </c>
      <c r="BD45" s="52">
        <f t="shared" si="43"/>
        <v>0</v>
      </c>
      <c r="BE45" s="52">
        <v>0</v>
      </c>
      <c r="BF45" s="52">
        <f t="shared" si="44"/>
        <v>0.11176</v>
      </c>
      <c r="BH45" s="3">
        <f t="shared" si="45"/>
        <v>0</v>
      </c>
      <c r="BI45" s="3">
        <f t="shared" si="46"/>
        <v>0</v>
      </c>
      <c r="BJ45" s="3">
        <f t="shared" si="47"/>
        <v>0</v>
      </c>
    </row>
    <row r="46" spans="1:62" ht="12.75">
      <c r="A46" s="1" t="s">
        <v>32</v>
      </c>
      <c r="B46" s="1"/>
      <c r="C46" s="1" t="s">
        <v>113</v>
      </c>
      <c r="D46" s="1" t="s">
        <v>219</v>
      </c>
      <c r="E46" s="1" t="s">
        <v>294</v>
      </c>
      <c r="F46" s="3">
        <f>'Rozpočet - vybrané sloupce'!AR45</f>
        <v>6</v>
      </c>
      <c r="G46" s="3">
        <f>'Rozpočet - vybrané sloupce'!AW45</f>
        <v>0</v>
      </c>
      <c r="H46" s="3">
        <f t="shared" si="24"/>
        <v>0</v>
      </c>
      <c r="I46" s="3">
        <f t="shared" si="25"/>
        <v>0</v>
      </c>
      <c r="J46" s="3">
        <f t="shared" si="26"/>
        <v>0</v>
      </c>
      <c r="K46" s="3">
        <v>0.016</v>
      </c>
      <c r="L46" s="3">
        <f t="shared" si="27"/>
        <v>0.096</v>
      </c>
      <c r="M46" s="49" t="s">
        <v>369</v>
      </c>
      <c r="Z46" s="52">
        <f t="shared" si="28"/>
        <v>0</v>
      </c>
      <c r="AB46" s="52">
        <f t="shared" si="29"/>
        <v>0</v>
      </c>
      <c r="AC46" s="52">
        <f t="shared" si="30"/>
        <v>0</v>
      </c>
      <c r="AD46" s="52">
        <f t="shared" si="31"/>
        <v>0</v>
      </c>
      <c r="AE46" s="52">
        <f t="shared" si="32"/>
        <v>0</v>
      </c>
      <c r="AF46" s="52">
        <f t="shared" si="33"/>
        <v>0</v>
      </c>
      <c r="AG46" s="52">
        <f t="shared" si="34"/>
        <v>0</v>
      </c>
      <c r="AH46" s="52">
        <f t="shared" si="35"/>
        <v>0</v>
      </c>
      <c r="AI46" s="45"/>
      <c r="AJ46" s="3">
        <f t="shared" si="36"/>
        <v>0</v>
      </c>
      <c r="AK46" s="3">
        <f t="shared" si="37"/>
        <v>0</v>
      </c>
      <c r="AL46" s="3">
        <f t="shared" si="38"/>
        <v>0</v>
      </c>
      <c r="AN46" s="52">
        <v>21</v>
      </c>
      <c r="AO46" s="52">
        <f>G46*0.948982558139535</f>
        <v>0</v>
      </c>
      <c r="AP46" s="52">
        <f>G46*(1-0.948982558139535)</f>
        <v>0</v>
      </c>
      <c r="AQ46" s="49" t="s">
        <v>13</v>
      </c>
      <c r="AV46" s="52">
        <f t="shared" si="39"/>
        <v>0</v>
      </c>
      <c r="AW46" s="52">
        <f t="shared" si="40"/>
        <v>0</v>
      </c>
      <c r="AX46" s="52">
        <f t="shared" si="41"/>
        <v>0</v>
      </c>
      <c r="AY46" s="53" t="s">
        <v>389</v>
      </c>
      <c r="AZ46" s="53" t="s">
        <v>413</v>
      </c>
      <c r="BA46" s="45" t="s">
        <v>420</v>
      </c>
      <c r="BC46" s="52">
        <f t="shared" si="42"/>
        <v>0</v>
      </c>
      <c r="BD46" s="52">
        <f t="shared" si="43"/>
        <v>0</v>
      </c>
      <c r="BE46" s="52">
        <v>0</v>
      </c>
      <c r="BF46" s="52">
        <f t="shared" si="44"/>
        <v>0.096</v>
      </c>
      <c r="BH46" s="3">
        <f t="shared" si="45"/>
        <v>0</v>
      </c>
      <c r="BI46" s="3">
        <f t="shared" si="46"/>
        <v>0</v>
      </c>
      <c r="BJ46" s="3">
        <f t="shared" si="47"/>
        <v>0</v>
      </c>
    </row>
    <row r="47" spans="1:62" ht="12.75">
      <c r="A47" s="1" t="s">
        <v>33</v>
      </c>
      <c r="B47" s="1"/>
      <c r="C47" s="1" t="s">
        <v>114</v>
      </c>
      <c r="D47" s="1" t="s">
        <v>220</v>
      </c>
      <c r="E47" s="1" t="s">
        <v>294</v>
      </c>
      <c r="F47" s="3">
        <f>'Rozpočet - vybrané sloupce'!AR46</f>
        <v>2</v>
      </c>
      <c r="G47" s="3">
        <f>'Rozpočet - vybrané sloupce'!AW46</f>
        <v>0</v>
      </c>
      <c r="H47" s="3">
        <f t="shared" si="24"/>
        <v>0</v>
      </c>
      <c r="I47" s="3">
        <f t="shared" si="25"/>
        <v>0</v>
      </c>
      <c r="J47" s="3">
        <f t="shared" si="26"/>
        <v>0</v>
      </c>
      <c r="K47" s="3">
        <v>0.0018</v>
      </c>
      <c r="L47" s="3">
        <f t="shared" si="27"/>
        <v>0.0036</v>
      </c>
      <c r="M47" s="49" t="s">
        <v>369</v>
      </c>
      <c r="Z47" s="52">
        <f t="shared" si="28"/>
        <v>0</v>
      </c>
      <c r="AB47" s="52">
        <f t="shared" si="29"/>
        <v>0</v>
      </c>
      <c r="AC47" s="52">
        <f t="shared" si="30"/>
        <v>0</v>
      </c>
      <c r="AD47" s="52">
        <f t="shared" si="31"/>
        <v>0</v>
      </c>
      <c r="AE47" s="52">
        <f t="shared" si="32"/>
        <v>0</v>
      </c>
      <c r="AF47" s="52">
        <f t="shared" si="33"/>
        <v>0</v>
      </c>
      <c r="AG47" s="52">
        <f t="shared" si="34"/>
        <v>0</v>
      </c>
      <c r="AH47" s="52">
        <f t="shared" si="35"/>
        <v>0</v>
      </c>
      <c r="AI47" s="45"/>
      <c r="AJ47" s="3">
        <f t="shared" si="36"/>
        <v>0</v>
      </c>
      <c r="AK47" s="3">
        <f t="shared" si="37"/>
        <v>0</v>
      </c>
      <c r="AL47" s="3">
        <f t="shared" si="38"/>
        <v>0</v>
      </c>
      <c r="AN47" s="52">
        <v>21</v>
      </c>
      <c r="AO47" s="52">
        <f>G47*0.886543272259964</f>
        <v>0</v>
      </c>
      <c r="AP47" s="52">
        <f>G47*(1-0.886543272259964)</f>
        <v>0</v>
      </c>
      <c r="AQ47" s="49" t="s">
        <v>13</v>
      </c>
      <c r="AV47" s="52">
        <f t="shared" si="39"/>
        <v>0</v>
      </c>
      <c r="AW47" s="52">
        <f t="shared" si="40"/>
        <v>0</v>
      </c>
      <c r="AX47" s="52">
        <f t="shared" si="41"/>
        <v>0</v>
      </c>
      <c r="AY47" s="53" t="s">
        <v>389</v>
      </c>
      <c r="AZ47" s="53" t="s">
        <v>413</v>
      </c>
      <c r="BA47" s="45" t="s">
        <v>420</v>
      </c>
      <c r="BC47" s="52">
        <f t="shared" si="42"/>
        <v>0</v>
      </c>
      <c r="BD47" s="52">
        <f t="shared" si="43"/>
        <v>0</v>
      </c>
      <c r="BE47" s="52">
        <v>0</v>
      </c>
      <c r="BF47" s="52">
        <f t="shared" si="44"/>
        <v>0.0036</v>
      </c>
      <c r="BH47" s="3">
        <f t="shared" si="45"/>
        <v>0</v>
      </c>
      <c r="BI47" s="3">
        <f t="shared" si="46"/>
        <v>0</v>
      </c>
      <c r="BJ47" s="3">
        <f t="shared" si="47"/>
        <v>0</v>
      </c>
    </row>
    <row r="48" spans="1:47" ht="12.75">
      <c r="A48" s="30"/>
      <c r="B48" s="36"/>
      <c r="C48" s="36" t="s">
        <v>115</v>
      </c>
      <c r="D48" s="36" t="s">
        <v>221</v>
      </c>
      <c r="E48" s="30" t="s">
        <v>6</v>
      </c>
      <c r="F48" s="30" t="s">
        <v>6</v>
      </c>
      <c r="G48" s="30" t="s">
        <v>6</v>
      </c>
      <c r="H48" s="6">
        <f>SUM(H49:H49)</f>
        <v>0</v>
      </c>
      <c r="I48" s="6">
        <f>SUM(I49:I49)</f>
        <v>0</v>
      </c>
      <c r="J48" s="6">
        <f>SUM(J49:J49)</f>
        <v>0</v>
      </c>
      <c r="K48" s="45"/>
      <c r="L48" s="6">
        <f>SUM(L49:L49)</f>
        <v>0.00102</v>
      </c>
      <c r="M48" s="45"/>
      <c r="AI48" s="45"/>
      <c r="AS48" s="6">
        <f>SUM(AJ49:AJ49)</f>
        <v>0</v>
      </c>
      <c r="AT48" s="6">
        <f>SUM(AK49:AK49)</f>
        <v>0</v>
      </c>
      <c r="AU48" s="6">
        <f>SUM(AL49:AL49)</f>
        <v>0</v>
      </c>
    </row>
    <row r="49" spans="1:62" ht="12.75">
      <c r="A49" s="1" t="s">
        <v>34</v>
      </c>
      <c r="B49" s="1"/>
      <c r="C49" s="1" t="s">
        <v>116</v>
      </c>
      <c r="D49" s="1" t="s">
        <v>222</v>
      </c>
      <c r="E49" s="1" t="s">
        <v>293</v>
      </c>
      <c r="F49" s="3">
        <f>'Rozpočet - vybrané sloupce'!AR48</f>
        <v>1</v>
      </c>
      <c r="G49" s="3">
        <f>'Rozpočet - vybrané sloupce'!AW48</f>
        <v>0</v>
      </c>
      <c r="H49" s="3">
        <f>F49*AO49</f>
        <v>0</v>
      </c>
      <c r="I49" s="3">
        <f>F49*AP49</f>
        <v>0</v>
      </c>
      <c r="J49" s="3">
        <f>F49*G49</f>
        <v>0</v>
      </c>
      <c r="K49" s="3">
        <v>0.00102</v>
      </c>
      <c r="L49" s="3">
        <f>F49*K49</f>
        <v>0.00102</v>
      </c>
      <c r="M49" s="49" t="s">
        <v>369</v>
      </c>
      <c r="Z49" s="52">
        <f>IF(AQ49="5",BJ49,0)</f>
        <v>0</v>
      </c>
      <c r="AB49" s="52">
        <f>IF(AQ49="1",BH49,0)</f>
        <v>0</v>
      </c>
      <c r="AC49" s="52">
        <f>IF(AQ49="1",BI49,0)</f>
        <v>0</v>
      </c>
      <c r="AD49" s="52">
        <f>IF(AQ49="7",BH49,0)</f>
        <v>0</v>
      </c>
      <c r="AE49" s="52">
        <f>IF(AQ49="7",BI49,0)</f>
        <v>0</v>
      </c>
      <c r="AF49" s="52">
        <f>IF(AQ49="2",BH49,0)</f>
        <v>0</v>
      </c>
      <c r="AG49" s="52">
        <f>IF(AQ49="2",BI49,0)</f>
        <v>0</v>
      </c>
      <c r="AH49" s="52">
        <f>IF(AQ49="0",BJ49,0)</f>
        <v>0</v>
      </c>
      <c r="AI49" s="45"/>
      <c r="AJ49" s="3">
        <f>IF(AN49=0,J49,0)</f>
        <v>0</v>
      </c>
      <c r="AK49" s="3">
        <f>IF(AN49=15,J49,0)</f>
        <v>0</v>
      </c>
      <c r="AL49" s="3">
        <f>IF(AN49=21,J49,0)</f>
        <v>0</v>
      </c>
      <c r="AN49" s="52">
        <v>21</v>
      </c>
      <c r="AO49" s="52">
        <f>G49*0.13132</f>
        <v>0</v>
      </c>
      <c r="AP49" s="52">
        <f>G49*(1-0.13132)</f>
        <v>0</v>
      </c>
      <c r="AQ49" s="49" t="s">
        <v>13</v>
      </c>
      <c r="AV49" s="52">
        <f>AW49+AX49</f>
        <v>0</v>
      </c>
      <c r="AW49" s="52">
        <f>F49*AO49</f>
        <v>0</v>
      </c>
      <c r="AX49" s="52">
        <f>F49*AP49</f>
        <v>0</v>
      </c>
      <c r="AY49" s="53" t="s">
        <v>390</v>
      </c>
      <c r="AZ49" s="53" t="s">
        <v>414</v>
      </c>
      <c r="BA49" s="45" t="s">
        <v>420</v>
      </c>
      <c r="BC49" s="52">
        <f>AW49+AX49</f>
        <v>0</v>
      </c>
      <c r="BD49" s="52">
        <f>G49/(100-BE49)*100</f>
        <v>0</v>
      </c>
      <c r="BE49" s="52">
        <v>0</v>
      </c>
      <c r="BF49" s="52">
        <f>L49</f>
        <v>0.00102</v>
      </c>
      <c r="BH49" s="3">
        <f>F49*AO49</f>
        <v>0</v>
      </c>
      <c r="BI49" s="3">
        <f>F49*AP49</f>
        <v>0</v>
      </c>
      <c r="BJ49" s="3">
        <f>F49*G49</f>
        <v>0</v>
      </c>
    </row>
    <row r="50" spans="1:47" ht="12.75">
      <c r="A50" s="30"/>
      <c r="B50" s="36"/>
      <c r="C50" s="36" t="s">
        <v>117</v>
      </c>
      <c r="D50" s="36" t="s">
        <v>223</v>
      </c>
      <c r="E50" s="30" t="s">
        <v>6</v>
      </c>
      <c r="F50" s="30" t="s">
        <v>6</v>
      </c>
      <c r="G50" s="30" t="s">
        <v>6</v>
      </c>
      <c r="H50" s="6">
        <f>SUM(H51:H54)</f>
        <v>0</v>
      </c>
      <c r="I50" s="6">
        <f>SUM(I51:I54)</f>
        <v>0</v>
      </c>
      <c r="J50" s="6">
        <f>SUM(J51:J54)</f>
        <v>0</v>
      </c>
      <c r="K50" s="45"/>
      <c r="L50" s="6">
        <f>SUM(L51:L54)</f>
        <v>0.07652</v>
      </c>
      <c r="M50" s="45"/>
      <c r="AI50" s="45"/>
      <c r="AS50" s="6">
        <f>SUM(AJ51:AJ54)</f>
        <v>0</v>
      </c>
      <c r="AT50" s="6">
        <f>SUM(AK51:AK54)</f>
        <v>0</v>
      </c>
      <c r="AU50" s="6">
        <f>SUM(AL51:AL54)</f>
        <v>0</v>
      </c>
    </row>
    <row r="51" spans="1:62" ht="12.75">
      <c r="A51" s="1" t="s">
        <v>35</v>
      </c>
      <c r="B51" s="1"/>
      <c r="C51" s="1" t="s">
        <v>118</v>
      </c>
      <c r="D51" s="1" t="s">
        <v>224</v>
      </c>
      <c r="E51" s="1" t="s">
        <v>290</v>
      </c>
      <c r="F51" s="3">
        <f>'Rozpočet - vybrané sloupce'!AR50</f>
        <v>1</v>
      </c>
      <c r="G51" s="3">
        <f>'Rozpočet - vybrané sloupce'!AW50</f>
        <v>0</v>
      </c>
      <c r="H51" s="3">
        <f>F51*AO51</f>
        <v>0</v>
      </c>
      <c r="I51" s="3">
        <f>F51*AP51</f>
        <v>0</v>
      </c>
      <c r="J51" s="3">
        <f>F51*G51</f>
        <v>0</v>
      </c>
      <c r="K51" s="3">
        <v>0.07013</v>
      </c>
      <c r="L51" s="3">
        <f>F51*K51</f>
        <v>0.07013</v>
      </c>
      <c r="M51" s="49" t="s">
        <v>369</v>
      </c>
      <c r="Z51" s="52">
        <f>IF(AQ51="5",BJ51,0)</f>
        <v>0</v>
      </c>
      <c r="AB51" s="52">
        <f>IF(AQ51="1",BH51,0)</f>
        <v>0</v>
      </c>
      <c r="AC51" s="52">
        <f>IF(AQ51="1",BI51,0)</f>
        <v>0</v>
      </c>
      <c r="AD51" s="52">
        <f>IF(AQ51="7",BH51,0)</f>
        <v>0</v>
      </c>
      <c r="AE51" s="52">
        <f>IF(AQ51="7",BI51,0)</f>
        <v>0</v>
      </c>
      <c r="AF51" s="52">
        <f>IF(AQ51="2",BH51,0)</f>
        <v>0</v>
      </c>
      <c r="AG51" s="52">
        <f>IF(AQ51="2",BI51,0)</f>
        <v>0</v>
      </c>
      <c r="AH51" s="52">
        <f>IF(AQ51="0",BJ51,0)</f>
        <v>0</v>
      </c>
      <c r="AI51" s="45"/>
      <c r="AJ51" s="3">
        <f>IF(AN51=0,J51,0)</f>
        <v>0</v>
      </c>
      <c r="AK51" s="3">
        <f>IF(AN51=15,J51,0)</f>
        <v>0</v>
      </c>
      <c r="AL51" s="3">
        <f>IF(AN51=21,J51,0)</f>
        <v>0</v>
      </c>
      <c r="AN51" s="52">
        <v>21</v>
      </c>
      <c r="AO51" s="52">
        <f>G51*0.102542857142857</f>
        <v>0</v>
      </c>
      <c r="AP51" s="52">
        <f>G51*(1-0.102542857142857)</f>
        <v>0</v>
      </c>
      <c r="AQ51" s="49" t="s">
        <v>13</v>
      </c>
      <c r="AV51" s="52">
        <f>AW51+AX51</f>
        <v>0</v>
      </c>
      <c r="AW51" s="52">
        <f>F51*AO51</f>
        <v>0</v>
      </c>
      <c r="AX51" s="52">
        <f>F51*AP51</f>
        <v>0</v>
      </c>
      <c r="AY51" s="53" t="s">
        <v>391</v>
      </c>
      <c r="AZ51" s="53" t="s">
        <v>414</v>
      </c>
      <c r="BA51" s="45" t="s">
        <v>420</v>
      </c>
      <c r="BC51" s="52">
        <f>AW51+AX51</f>
        <v>0</v>
      </c>
      <c r="BD51" s="52">
        <f>G51/(100-BE51)*100</f>
        <v>0</v>
      </c>
      <c r="BE51" s="52">
        <v>0</v>
      </c>
      <c r="BF51" s="52">
        <f>L51</f>
        <v>0.07013</v>
      </c>
      <c r="BH51" s="3">
        <f>F51*AO51</f>
        <v>0</v>
      </c>
      <c r="BI51" s="3">
        <f>F51*AP51</f>
        <v>0</v>
      </c>
      <c r="BJ51" s="3">
        <f>F51*G51</f>
        <v>0</v>
      </c>
    </row>
    <row r="52" spans="1:62" ht="12.75">
      <c r="A52" s="1" t="s">
        <v>36</v>
      </c>
      <c r="B52" s="1"/>
      <c r="C52" s="1" t="s">
        <v>119</v>
      </c>
      <c r="D52" s="1" t="s">
        <v>225</v>
      </c>
      <c r="E52" s="1" t="s">
        <v>290</v>
      </c>
      <c r="F52" s="3">
        <f>'Rozpočet - vybrané sloupce'!AR51</f>
        <v>1</v>
      </c>
      <c r="G52" s="3">
        <f>'Rozpočet - vybrané sloupce'!AW51</f>
        <v>0</v>
      </c>
      <c r="H52" s="3">
        <f>F52*AO52</f>
        <v>0</v>
      </c>
      <c r="I52" s="3">
        <f>F52*AP52</f>
        <v>0</v>
      </c>
      <c r="J52" s="3">
        <f>F52*G52</f>
        <v>0</v>
      </c>
      <c r="K52" s="3">
        <v>0.00519</v>
      </c>
      <c r="L52" s="3">
        <f>F52*K52</f>
        <v>0.00519</v>
      </c>
      <c r="M52" s="49" t="s">
        <v>369</v>
      </c>
      <c r="Z52" s="52">
        <f>IF(AQ52="5",BJ52,0)</f>
        <v>0</v>
      </c>
      <c r="AB52" s="52">
        <f>IF(AQ52="1",BH52,0)</f>
        <v>0</v>
      </c>
      <c r="AC52" s="52">
        <f>IF(AQ52="1",BI52,0)</f>
        <v>0</v>
      </c>
      <c r="AD52" s="52">
        <f>IF(AQ52="7",BH52,0)</f>
        <v>0</v>
      </c>
      <c r="AE52" s="52">
        <f>IF(AQ52="7",BI52,0)</f>
        <v>0</v>
      </c>
      <c r="AF52" s="52">
        <f>IF(AQ52="2",BH52,0)</f>
        <v>0</v>
      </c>
      <c r="AG52" s="52">
        <f>IF(AQ52="2",BI52,0)</f>
        <v>0</v>
      </c>
      <c r="AH52" s="52">
        <f>IF(AQ52="0",BJ52,0)</f>
        <v>0</v>
      </c>
      <c r="AI52" s="45"/>
      <c r="AJ52" s="3">
        <f>IF(AN52=0,J52,0)</f>
        <v>0</v>
      </c>
      <c r="AK52" s="3">
        <f>IF(AN52=15,J52,0)</f>
        <v>0</v>
      </c>
      <c r="AL52" s="3">
        <f>IF(AN52=21,J52,0)</f>
        <v>0</v>
      </c>
      <c r="AN52" s="52">
        <v>21</v>
      </c>
      <c r="AO52" s="52">
        <f>G52*0.926269430051814</f>
        <v>0</v>
      </c>
      <c r="AP52" s="52">
        <f>G52*(1-0.926269430051814)</f>
        <v>0</v>
      </c>
      <c r="AQ52" s="49" t="s">
        <v>13</v>
      </c>
      <c r="AV52" s="52">
        <f>AW52+AX52</f>
        <v>0</v>
      </c>
      <c r="AW52" s="52">
        <f>F52*AO52</f>
        <v>0</v>
      </c>
      <c r="AX52" s="52">
        <f>F52*AP52</f>
        <v>0</v>
      </c>
      <c r="AY52" s="53" t="s">
        <v>391</v>
      </c>
      <c r="AZ52" s="53" t="s">
        <v>414</v>
      </c>
      <c r="BA52" s="45" t="s">
        <v>420</v>
      </c>
      <c r="BC52" s="52">
        <f>AW52+AX52</f>
        <v>0</v>
      </c>
      <c r="BD52" s="52">
        <f>G52/(100-BE52)*100</f>
        <v>0</v>
      </c>
      <c r="BE52" s="52">
        <v>0</v>
      </c>
      <c r="BF52" s="52">
        <f>L52</f>
        <v>0.00519</v>
      </c>
      <c r="BH52" s="3">
        <f>F52*AO52</f>
        <v>0</v>
      </c>
      <c r="BI52" s="3">
        <f>F52*AP52</f>
        <v>0</v>
      </c>
      <c r="BJ52" s="3">
        <f>F52*G52</f>
        <v>0</v>
      </c>
    </row>
    <row r="53" spans="1:62" ht="12.75">
      <c r="A53" s="1" t="s">
        <v>37</v>
      </c>
      <c r="B53" s="1"/>
      <c r="C53" s="1" t="s">
        <v>120</v>
      </c>
      <c r="D53" s="1" t="s">
        <v>226</v>
      </c>
      <c r="E53" s="1" t="s">
        <v>294</v>
      </c>
      <c r="F53" s="3">
        <f>'Rozpočet - vybrané sloupce'!AR52</f>
        <v>1</v>
      </c>
      <c r="G53" s="3">
        <f>'Rozpočet - vybrané sloupce'!AW52</f>
        <v>0</v>
      </c>
      <c r="H53" s="3">
        <f>F53*AO53</f>
        <v>0</v>
      </c>
      <c r="I53" s="3">
        <f>F53*AP53</f>
        <v>0</v>
      </c>
      <c r="J53" s="3">
        <f>F53*G53</f>
        <v>0</v>
      </c>
      <c r="K53" s="3">
        <v>0.0012</v>
      </c>
      <c r="L53" s="3">
        <f>F53*K53</f>
        <v>0.0012</v>
      </c>
      <c r="M53" s="49" t="s">
        <v>369</v>
      </c>
      <c r="Z53" s="52">
        <f>IF(AQ53="5",BJ53,0)</f>
        <v>0</v>
      </c>
      <c r="AB53" s="52">
        <f>IF(AQ53="1",BH53,0)</f>
        <v>0</v>
      </c>
      <c r="AC53" s="52">
        <f>IF(AQ53="1",BI53,0)</f>
        <v>0</v>
      </c>
      <c r="AD53" s="52">
        <f>IF(AQ53="7",BH53,0)</f>
        <v>0</v>
      </c>
      <c r="AE53" s="52">
        <f>IF(AQ53="7",BI53,0)</f>
        <v>0</v>
      </c>
      <c r="AF53" s="52">
        <f>IF(AQ53="2",BH53,0)</f>
        <v>0</v>
      </c>
      <c r="AG53" s="52">
        <f>IF(AQ53="2",BI53,0)</f>
        <v>0</v>
      </c>
      <c r="AH53" s="52">
        <f>IF(AQ53="0",BJ53,0)</f>
        <v>0</v>
      </c>
      <c r="AI53" s="45"/>
      <c r="AJ53" s="3">
        <f>IF(AN53=0,J53,0)</f>
        <v>0</v>
      </c>
      <c r="AK53" s="3">
        <f>IF(AN53=15,J53,0)</f>
        <v>0</v>
      </c>
      <c r="AL53" s="3">
        <f>IF(AN53=21,J53,0)</f>
        <v>0</v>
      </c>
      <c r="AN53" s="52">
        <v>21</v>
      </c>
      <c r="AO53" s="52">
        <f>G53*0.416760330578512</f>
        <v>0</v>
      </c>
      <c r="AP53" s="52">
        <f>G53*(1-0.416760330578512)</f>
        <v>0</v>
      </c>
      <c r="AQ53" s="49" t="s">
        <v>13</v>
      </c>
      <c r="AV53" s="52">
        <f>AW53+AX53</f>
        <v>0</v>
      </c>
      <c r="AW53" s="52">
        <f>F53*AO53</f>
        <v>0</v>
      </c>
      <c r="AX53" s="52">
        <f>F53*AP53</f>
        <v>0</v>
      </c>
      <c r="AY53" s="53" t="s">
        <v>391</v>
      </c>
      <c r="AZ53" s="53" t="s">
        <v>414</v>
      </c>
      <c r="BA53" s="45" t="s">
        <v>420</v>
      </c>
      <c r="BC53" s="52">
        <f>AW53+AX53</f>
        <v>0</v>
      </c>
      <c r="BD53" s="52">
        <f>G53/(100-BE53)*100</f>
        <v>0</v>
      </c>
      <c r="BE53" s="52">
        <v>0</v>
      </c>
      <c r="BF53" s="52">
        <f>L53</f>
        <v>0.0012</v>
      </c>
      <c r="BH53" s="3">
        <f>F53*AO53</f>
        <v>0</v>
      </c>
      <c r="BI53" s="3">
        <f>F53*AP53</f>
        <v>0</v>
      </c>
      <c r="BJ53" s="3">
        <f>F53*G53</f>
        <v>0</v>
      </c>
    </row>
    <row r="54" spans="1:62" ht="12.75">
      <c r="A54" s="1" t="s">
        <v>38</v>
      </c>
      <c r="B54" s="1"/>
      <c r="C54" s="1" t="s">
        <v>121</v>
      </c>
      <c r="D54" s="1" t="s">
        <v>227</v>
      </c>
      <c r="E54" s="1" t="s">
        <v>293</v>
      </c>
      <c r="F54" s="3">
        <f>'Rozpočet - vybrané sloupce'!AR53</f>
        <v>1</v>
      </c>
      <c r="G54" s="3">
        <f>'Rozpočet - vybrané sloupce'!AW53</f>
        <v>0</v>
      </c>
      <c r="H54" s="3">
        <f>F54*AO54</f>
        <v>0</v>
      </c>
      <c r="I54" s="3">
        <f>F54*AP54</f>
        <v>0</v>
      </c>
      <c r="J54" s="3">
        <f>F54*G54</f>
        <v>0</v>
      </c>
      <c r="K54" s="3">
        <v>0</v>
      </c>
      <c r="L54" s="3">
        <f>F54*K54</f>
        <v>0</v>
      </c>
      <c r="M54" s="49" t="s">
        <v>369</v>
      </c>
      <c r="Z54" s="52">
        <f>IF(AQ54="5",BJ54,0)</f>
        <v>0</v>
      </c>
      <c r="AB54" s="52">
        <f>IF(AQ54="1",BH54,0)</f>
        <v>0</v>
      </c>
      <c r="AC54" s="52">
        <f>IF(AQ54="1",BI54,0)</f>
        <v>0</v>
      </c>
      <c r="AD54" s="52">
        <f>IF(AQ54="7",BH54,0)</f>
        <v>0</v>
      </c>
      <c r="AE54" s="52">
        <f>IF(AQ54="7",BI54,0)</f>
        <v>0</v>
      </c>
      <c r="AF54" s="52">
        <f>IF(AQ54="2",BH54,0)</f>
        <v>0</v>
      </c>
      <c r="AG54" s="52">
        <f>IF(AQ54="2",BI54,0)</f>
        <v>0</v>
      </c>
      <c r="AH54" s="52">
        <f>IF(AQ54="0",BJ54,0)</f>
        <v>0</v>
      </c>
      <c r="AI54" s="45"/>
      <c r="AJ54" s="3">
        <f>IF(AN54=0,J54,0)</f>
        <v>0</v>
      </c>
      <c r="AK54" s="3">
        <f>IF(AN54=15,J54,0)</f>
        <v>0</v>
      </c>
      <c r="AL54" s="3">
        <f>IF(AN54=21,J54,0)</f>
        <v>0</v>
      </c>
      <c r="AN54" s="52">
        <v>21</v>
      </c>
      <c r="AO54" s="52">
        <f>G54*0</f>
        <v>0</v>
      </c>
      <c r="AP54" s="52">
        <f>G54*(1-0)</f>
        <v>0</v>
      </c>
      <c r="AQ54" s="49" t="s">
        <v>13</v>
      </c>
      <c r="AV54" s="52">
        <f>AW54+AX54</f>
        <v>0</v>
      </c>
      <c r="AW54" s="52">
        <f>F54*AO54</f>
        <v>0</v>
      </c>
      <c r="AX54" s="52">
        <f>F54*AP54</f>
        <v>0</v>
      </c>
      <c r="AY54" s="53" t="s">
        <v>391</v>
      </c>
      <c r="AZ54" s="53" t="s">
        <v>414</v>
      </c>
      <c r="BA54" s="45" t="s">
        <v>420</v>
      </c>
      <c r="BC54" s="52">
        <f>AW54+AX54</f>
        <v>0</v>
      </c>
      <c r="BD54" s="52">
        <f>G54/(100-BE54)*100</f>
        <v>0</v>
      </c>
      <c r="BE54" s="52">
        <v>0</v>
      </c>
      <c r="BF54" s="52">
        <f>L54</f>
        <v>0</v>
      </c>
      <c r="BH54" s="3">
        <f>F54*AO54</f>
        <v>0</v>
      </c>
      <c r="BI54" s="3">
        <f>F54*AP54</f>
        <v>0</v>
      </c>
      <c r="BJ54" s="3">
        <f>F54*G54</f>
        <v>0</v>
      </c>
    </row>
    <row r="55" spans="1:47" ht="12.75">
      <c r="A55" s="30"/>
      <c r="B55" s="36"/>
      <c r="C55" s="36" t="s">
        <v>122</v>
      </c>
      <c r="D55" s="36" t="s">
        <v>228</v>
      </c>
      <c r="E55" s="30" t="s">
        <v>6</v>
      </c>
      <c r="F55" s="30" t="s">
        <v>6</v>
      </c>
      <c r="G55" s="30" t="s">
        <v>6</v>
      </c>
      <c r="H55" s="6">
        <f>SUM(H56:H58)</f>
        <v>0</v>
      </c>
      <c r="I55" s="6">
        <f>SUM(I56:I58)</f>
        <v>0</v>
      </c>
      <c r="J55" s="6">
        <f>SUM(J56:J58)</f>
        <v>0</v>
      </c>
      <c r="K55" s="45"/>
      <c r="L55" s="6">
        <f>SUM(L56:L58)</f>
        <v>0</v>
      </c>
      <c r="M55" s="45"/>
      <c r="AI55" s="45"/>
      <c r="AS55" s="6">
        <f>SUM(AJ56:AJ58)</f>
        <v>0</v>
      </c>
      <c r="AT55" s="6">
        <f>SUM(AK56:AK58)</f>
        <v>0</v>
      </c>
      <c r="AU55" s="6">
        <f>SUM(AL56:AL58)</f>
        <v>0</v>
      </c>
    </row>
    <row r="56" spans="1:62" ht="12.75">
      <c r="A56" s="1" t="s">
        <v>39</v>
      </c>
      <c r="B56" s="1"/>
      <c r="C56" s="1" t="s">
        <v>123</v>
      </c>
      <c r="D56" s="1" t="s">
        <v>229</v>
      </c>
      <c r="E56" s="1" t="s">
        <v>290</v>
      </c>
      <c r="F56" s="3">
        <f>'Rozpočet - vybrané sloupce'!AR55</f>
        <v>4</v>
      </c>
      <c r="G56" s="3">
        <f>'Rozpočet - vybrané sloupce'!AW55</f>
        <v>0</v>
      </c>
      <c r="H56" s="3">
        <f>F56*AO56</f>
        <v>0</v>
      </c>
      <c r="I56" s="3">
        <f>F56*AP56</f>
        <v>0</v>
      </c>
      <c r="J56" s="3">
        <f>F56*G56</f>
        <v>0</v>
      </c>
      <c r="K56" s="3">
        <v>0</v>
      </c>
      <c r="L56" s="3">
        <f>F56*K56</f>
        <v>0</v>
      </c>
      <c r="M56" s="49" t="s">
        <v>369</v>
      </c>
      <c r="Z56" s="52">
        <f>IF(AQ56="5",BJ56,0)</f>
        <v>0</v>
      </c>
      <c r="AB56" s="52">
        <f>IF(AQ56="1",BH56,0)</f>
        <v>0</v>
      </c>
      <c r="AC56" s="52">
        <f>IF(AQ56="1",BI56,0)</f>
        <v>0</v>
      </c>
      <c r="AD56" s="52">
        <f>IF(AQ56="7",BH56,0)</f>
        <v>0</v>
      </c>
      <c r="AE56" s="52">
        <f>IF(AQ56="7",BI56,0)</f>
        <v>0</v>
      </c>
      <c r="AF56" s="52">
        <f>IF(AQ56="2",BH56,0)</f>
        <v>0</v>
      </c>
      <c r="AG56" s="52">
        <f>IF(AQ56="2",BI56,0)</f>
        <v>0</v>
      </c>
      <c r="AH56" s="52">
        <f>IF(AQ56="0",BJ56,0)</f>
        <v>0</v>
      </c>
      <c r="AI56" s="45"/>
      <c r="AJ56" s="3">
        <f>IF(AN56=0,J56,0)</f>
        <v>0</v>
      </c>
      <c r="AK56" s="3">
        <f>IF(AN56=15,J56,0)</f>
        <v>0</v>
      </c>
      <c r="AL56" s="3">
        <f>IF(AN56=21,J56,0)</f>
        <v>0</v>
      </c>
      <c r="AN56" s="52">
        <v>21</v>
      </c>
      <c r="AO56" s="52">
        <f>G56*0</f>
        <v>0</v>
      </c>
      <c r="AP56" s="52">
        <f>G56*(1-0)</f>
        <v>0</v>
      </c>
      <c r="AQ56" s="49" t="s">
        <v>13</v>
      </c>
      <c r="AV56" s="52">
        <f>AW56+AX56</f>
        <v>0</v>
      </c>
      <c r="AW56" s="52">
        <f>F56*AO56</f>
        <v>0</v>
      </c>
      <c r="AX56" s="52">
        <f>F56*AP56</f>
        <v>0</v>
      </c>
      <c r="AY56" s="53" t="s">
        <v>392</v>
      </c>
      <c r="AZ56" s="53" t="s">
        <v>415</v>
      </c>
      <c r="BA56" s="45" t="s">
        <v>420</v>
      </c>
      <c r="BC56" s="52">
        <f>AW56+AX56</f>
        <v>0</v>
      </c>
      <c r="BD56" s="52">
        <f>G56/(100-BE56)*100</f>
        <v>0</v>
      </c>
      <c r="BE56" s="52">
        <v>0</v>
      </c>
      <c r="BF56" s="52">
        <f>L56</f>
        <v>0</v>
      </c>
      <c r="BH56" s="3">
        <f>F56*AO56</f>
        <v>0</v>
      </c>
      <c r="BI56" s="3">
        <f>F56*AP56</f>
        <v>0</v>
      </c>
      <c r="BJ56" s="3">
        <f>F56*G56</f>
        <v>0</v>
      </c>
    </row>
    <row r="57" spans="1:62" ht="12.75">
      <c r="A57" s="1" t="s">
        <v>40</v>
      </c>
      <c r="B57" s="1"/>
      <c r="C57" s="1" t="s">
        <v>124</v>
      </c>
      <c r="D57" s="1" t="s">
        <v>230</v>
      </c>
      <c r="E57" s="1" t="s">
        <v>290</v>
      </c>
      <c r="F57" s="3">
        <f>'Rozpočet - vybrané sloupce'!AR56</f>
        <v>1</v>
      </c>
      <c r="G57" s="3">
        <f>'Rozpočet - vybrané sloupce'!AW56</f>
        <v>0</v>
      </c>
      <c r="H57" s="3">
        <f>F57*AO57</f>
        <v>0</v>
      </c>
      <c r="I57" s="3">
        <f>F57*AP57</f>
        <v>0</v>
      </c>
      <c r="J57" s="3">
        <f>F57*G57</f>
        <v>0</v>
      </c>
      <c r="K57" s="3">
        <v>0</v>
      </c>
      <c r="L57" s="3">
        <f>F57*K57</f>
        <v>0</v>
      </c>
      <c r="M57" s="49" t="s">
        <v>369</v>
      </c>
      <c r="Z57" s="52">
        <f>IF(AQ57="5",BJ57,0)</f>
        <v>0</v>
      </c>
      <c r="AB57" s="52">
        <f>IF(AQ57="1",BH57,0)</f>
        <v>0</v>
      </c>
      <c r="AC57" s="52">
        <f>IF(AQ57="1",BI57,0)</f>
        <v>0</v>
      </c>
      <c r="AD57" s="52">
        <f>IF(AQ57="7",BH57,0)</f>
        <v>0</v>
      </c>
      <c r="AE57" s="52">
        <f>IF(AQ57="7",BI57,0)</f>
        <v>0</v>
      </c>
      <c r="AF57" s="52">
        <f>IF(AQ57="2",BH57,0)</f>
        <v>0</v>
      </c>
      <c r="AG57" s="52">
        <f>IF(AQ57="2",BI57,0)</f>
        <v>0</v>
      </c>
      <c r="AH57" s="52">
        <f>IF(AQ57="0",BJ57,0)</f>
        <v>0</v>
      </c>
      <c r="AI57" s="45"/>
      <c r="AJ57" s="3">
        <f>IF(AN57=0,J57,0)</f>
        <v>0</v>
      </c>
      <c r="AK57" s="3">
        <f>IF(AN57=15,J57,0)</f>
        <v>0</v>
      </c>
      <c r="AL57" s="3">
        <f>IF(AN57=21,J57,0)</f>
        <v>0</v>
      </c>
      <c r="AN57" s="52">
        <v>21</v>
      </c>
      <c r="AO57" s="52">
        <f>G57*0</f>
        <v>0</v>
      </c>
      <c r="AP57" s="52">
        <f>G57*(1-0)</f>
        <v>0</v>
      </c>
      <c r="AQ57" s="49" t="s">
        <v>13</v>
      </c>
      <c r="AV57" s="52">
        <f>AW57+AX57</f>
        <v>0</v>
      </c>
      <c r="AW57" s="52">
        <f>F57*AO57</f>
        <v>0</v>
      </c>
      <c r="AX57" s="52">
        <f>F57*AP57</f>
        <v>0</v>
      </c>
      <c r="AY57" s="53" t="s">
        <v>392</v>
      </c>
      <c r="AZ57" s="53" t="s">
        <v>415</v>
      </c>
      <c r="BA57" s="45" t="s">
        <v>420</v>
      </c>
      <c r="BC57" s="52">
        <f>AW57+AX57</f>
        <v>0</v>
      </c>
      <c r="BD57" s="52">
        <f>G57/(100-BE57)*100</f>
        <v>0</v>
      </c>
      <c r="BE57" s="52">
        <v>0</v>
      </c>
      <c r="BF57" s="52">
        <f>L57</f>
        <v>0</v>
      </c>
      <c r="BH57" s="3">
        <f>F57*AO57</f>
        <v>0</v>
      </c>
      <c r="BI57" s="3">
        <f>F57*AP57</f>
        <v>0</v>
      </c>
      <c r="BJ57" s="3">
        <f>F57*G57</f>
        <v>0</v>
      </c>
    </row>
    <row r="58" spans="1:62" ht="12.75">
      <c r="A58" s="1" t="s">
        <v>41</v>
      </c>
      <c r="B58" s="1"/>
      <c r="C58" s="1" t="s">
        <v>125</v>
      </c>
      <c r="D58" s="1" t="s">
        <v>231</v>
      </c>
      <c r="E58" s="1" t="s">
        <v>290</v>
      </c>
      <c r="F58" s="3">
        <f>'Rozpočet - vybrané sloupce'!AR57</f>
        <v>5</v>
      </c>
      <c r="G58" s="3">
        <f>'Rozpočet - vybrané sloupce'!AW57</f>
        <v>0</v>
      </c>
      <c r="H58" s="3">
        <f>F58*AO58</f>
        <v>0</v>
      </c>
      <c r="I58" s="3">
        <f>F58*AP58</f>
        <v>0</v>
      </c>
      <c r="J58" s="3">
        <f>F58*G58</f>
        <v>0</v>
      </c>
      <c r="K58" s="3">
        <v>0</v>
      </c>
      <c r="L58" s="3">
        <f>F58*K58</f>
        <v>0</v>
      </c>
      <c r="M58" s="49" t="s">
        <v>369</v>
      </c>
      <c r="Z58" s="52">
        <f>IF(AQ58="5",BJ58,0)</f>
        <v>0</v>
      </c>
      <c r="AB58" s="52">
        <f>IF(AQ58="1",BH58,0)</f>
        <v>0</v>
      </c>
      <c r="AC58" s="52">
        <f>IF(AQ58="1",BI58,0)</f>
        <v>0</v>
      </c>
      <c r="AD58" s="52">
        <f>IF(AQ58="7",BH58,0)</f>
        <v>0</v>
      </c>
      <c r="AE58" s="52">
        <f>IF(AQ58="7",BI58,0)</f>
        <v>0</v>
      </c>
      <c r="AF58" s="52">
        <f>IF(AQ58="2",BH58,0)</f>
        <v>0</v>
      </c>
      <c r="AG58" s="52">
        <f>IF(AQ58="2",BI58,0)</f>
        <v>0</v>
      </c>
      <c r="AH58" s="52">
        <f>IF(AQ58="0",BJ58,0)</f>
        <v>0</v>
      </c>
      <c r="AI58" s="45"/>
      <c r="AJ58" s="3">
        <f>IF(AN58=0,J58,0)</f>
        <v>0</v>
      </c>
      <c r="AK58" s="3">
        <f>IF(AN58=15,J58,0)</f>
        <v>0</v>
      </c>
      <c r="AL58" s="3">
        <f>IF(AN58=21,J58,0)</f>
        <v>0</v>
      </c>
      <c r="AN58" s="52">
        <v>21</v>
      </c>
      <c r="AO58" s="52">
        <f>G58*0</f>
        <v>0</v>
      </c>
      <c r="AP58" s="52">
        <f>G58*(1-0)</f>
        <v>0</v>
      </c>
      <c r="AQ58" s="49" t="s">
        <v>13</v>
      </c>
      <c r="AV58" s="52">
        <f>AW58+AX58</f>
        <v>0</v>
      </c>
      <c r="AW58" s="52">
        <f>F58*AO58</f>
        <v>0</v>
      </c>
      <c r="AX58" s="52">
        <f>F58*AP58</f>
        <v>0</v>
      </c>
      <c r="AY58" s="53" t="s">
        <v>392</v>
      </c>
      <c r="AZ58" s="53" t="s">
        <v>415</v>
      </c>
      <c r="BA58" s="45" t="s">
        <v>420</v>
      </c>
      <c r="BC58" s="52">
        <f>AW58+AX58</f>
        <v>0</v>
      </c>
      <c r="BD58" s="52">
        <f>G58/(100-BE58)*100</f>
        <v>0</v>
      </c>
      <c r="BE58" s="52">
        <v>0</v>
      </c>
      <c r="BF58" s="52">
        <f>L58</f>
        <v>0</v>
      </c>
      <c r="BH58" s="3">
        <f>F58*AO58</f>
        <v>0</v>
      </c>
      <c r="BI58" s="3">
        <f>F58*AP58</f>
        <v>0</v>
      </c>
      <c r="BJ58" s="3">
        <f>F58*G58</f>
        <v>0</v>
      </c>
    </row>
    <row r="59" spans="1:47" ht="12.75">
      <c r="A59" s="30"/>
      <c r="B59" s="36"/>
      <c r="C59" s="36" t="s">
        <v>126</v>
      </c>
      <c r="D59" s="36" t="s">
        <v>232</v>
      </c>
      <c r="E59" s="30" t="s">
        <v>6</v>
      </c>
      <c r="F59" s="30" t="s">
        <v>6</v>
      </c>
      <c r="G59" s="30" t="s">
        <v>6</v>
      </c>
      <c r="H59" s="6">
        <f>SUM(H60:H62)</f>
        <v>0</v>
      </c>
      <c r="I59" s="6">
        <f>SUM(I60:I62)</f>
        <v>0</v>
      </c>
      <c r="J59" s="6">
        <f>SUM(J60:J62)</f>
        <v>0</v>
      </c>
      <c r="K59" s="45"/>
      <c r="L59" s="6">
        <f>SUM(L60:L62)</f>
        <v>0.08960952</v>
      </c>
      <c r="M59" s="45"/>
      <c r="AI59" s="45"/>
      <c r="AS59" s="6">
        <f>SUM(AJ60:AJ62)</f>
        <v>0</v>
      </c>
      <c r="AT59" s="6">
        <f>SUM(AK60:AK62)</f>
        <v>0</v>
      </c>
      <c r="AU59" s="6">
        <f>SUM(AL60:AL62)</f>
        <v>0</v>
      </c>
    </row>
    <row r="60" spans="1:62" ht="12.75">
      <c r="A60" s="1" t="s">
        <v>42</v>
      </c>
      <c r="B60" s="1"/>
      <c r="C60" s="1" t="s">
        <v>127</v>
      </c>
      <c r="D60" s="1" t="s">
        <v>233</v>
      </c>
      <c r="E60" s="1" t="s">
        <v>291</v>
      </c>
      <c r="F60" s="3">
        <f>'Rozpočet - vybrané sloupce'!AR59</f>
        <v>16.412</v>
      </c>
      <c r="G60" s="3">
        <f>'Rozpočet - vybrané sloupce'!AW59</f>
        <v>0</v>
      </c>
      <c r="H60" s="3">
        <f>F60*AO60</f>
        <v>0</v>
      </c>
      <c r="I60" s="3">
        <f>F60*AP60</f>
        <v>0</v>
      </c>
      <c r="J60" s="3">
        <f>F60*G60</f>
        <v>0</v>
      </c>
      <c r="K60" s="3">
        <v>0</v>
      </c>
      <c r="L60" s="3">
        <f>F60*K60</f>
        <v>0</v>
      </c>
      <c r="M60" s="49" t="s">
        <v>369</v>
      </c>
      <c r="Z60" s="52">
        <f>IF(AQ60="5",BJ60,0)</f>
        <v>0</v>
      </c>
      <c r="AB60" s="52">
        <f>IF(AQ60="1",BH60,0)</f>
        <v>0</v>
      </c>
      <c r="AC60" s="52">
        <f>IF(AQ60="1",BI60,0)</f>
        <v>0</v>
      </c>
      <c r="AD60" s="52">
        <f>IF(AQ60="7",BH60,0)</f>
        <v>0</v>
      </c>
      <c r="AE60" s="52">
        <f>IF(AQ60="7",BI60,0)</f>
        <v>0</v>
      </c>
      <c r="AF60" s="52">
        <f>IF(AQ60="2",BH60,0)</f>
        <v>0</v>
      </c>
      <c r="AG60" s="52">
        <f>IF(AQ60="2",BI60,0)</f>
        <v>0</v>
      </c>
      <c r="AH60" s="52">
        <f>IF(AQ60="0",BJ60,0)</f>
        <v>0</v>
      </c>
      <c r="AI60" s="45"/>
      <c r="AJ60" s="3">
        <f>IF(AN60=0,J60,0)</f>
        <v>0</v>
      </c>
      <c r="AK60" s="3">
        <f>IF(AN60=15,J60,0)</f>
        <v>0</v>
      </c>
      <c r="AL60" s="3">
        <f>IF(AN60=21,J60,0)</f>
        <v>0</v>
      </c>
      <c r="AN60" s="52">
        <v>21</v>
      </c>
      <c r="AO60" s="52">
        <f>G60*0</f>
        <v>0</v>
      </c>
      <c r="AP60" s="52">
        <f>G60*(1-0)</f>
        <v>0</v>
      </c>
      <c r="AQ60" s="49" t="s">
        <v>13</v>
      </c>
      <c r="AV60" s="52">
        <f>AW60+AX60</f>
        <v>0</v>
      </c>
      <c r="AW60" s="52">
        <f>F60*AO60</f>
        <v>0</v>
      </c>
      <c r="AX60" s="52">
        <f>F60*AP60</f>
        <v>0</v>
      </c>
      <c r="AY60" s="53" t="s">
        <v>393</v>
      </c>
      <c r="AZ60" s="53" t="s">
        <v>416</v>
      </c>
      <c r="BA60" s="45" t="s">
        <v>420</v>
      </c>
      <c r="BC60" s="52">
        <f>AW60+AX60</f>
        <v>0</v>
      </c>
      <c r="BD60" s="52">
        <f>G60/(100-BE60)*100</f>
        <v>0</v>
      </c>
      <c r="BE60" s="52">
        <v>0</v>
      </c>
      <c r="BF60" s="52">
        <f>L60</f>
        <v>0</v>
      </c>
      <c r="BH60" s="3">
        <f>F60*AO60</f>
        <v>0</v>
      </c>
      <c r="BI60" s="3">
        <f>F60*AP60</f>
        <v>0</v>
      </c>
      <c r="BJ60" s="3">
        <f>F60*G60</f>
        <v>0</v>
      </c>
    </row>
    <row r="61" spans="1:62" ht="12.75">
      <c r="A61" s="1" t="s">
        <v>43</v>
      </c>
      <c r="B61" s="1"/>
      <c r="C61" s="1" t="s">
        <v>128</v>
      </c>
      <c r="D61" s="1" t="s">
        <v>234</v>
      </c>
      <c r="E61" s="1" t="s">
        <v>291</v>
      </c>
      <c r="F61" s="3">
        <f>'Rozpočet - vybrané sloupce'!AR60</f>
        <v>32.824</v>
      </c>
      <c r="G61" s="3">
        <f>'Rozpočet - vybrané sloupce'!AW60</f>
        <v>0</v>
      </c>
      <c r="H61" s="3">
        <f>F61*AO61</f>
        <v>0</v>
      </c>
      <c r="I61" s="3">
        <f>F61*AP61</f>
        <v>0</v>
      </c>
      <c r="J61" s="3">
        <f>F61*G61</f>
        <v>0</v>
      </c>
      <c r="K61" s="3">
        <v>0.00021</v>
      </c>
      <c r="L61" s="3">
        <f>F61*K61</f>
        <v>0.00689304</v>
      </c>
      <c r="M61" s="49" t="s">
        <v>369</v>
      </c>
      <c r="Z61" s="52">
        <f>IF(AQ61="5",BJ61,0)</f>
        <v>0</v>
      </c>
      <c r="AB61" s="52">
        <f>IF(AQ61="1",BH61,0)</f>
        <v>0</v>
      </c>
      <c r="AC61" s="52">
        <f>IF(AQ61="1",BI61,0)</f>
        <v>0</v>
      </c>
      <c r="AD61" s="52">
        <f>IF(AQ61="7",BH61,0)</f>
        <v>0</v>
      </c>
      <c r="AE61" s="52">
        <f>IF(AQ61="7",BI61,0)</f>
        <v>0</v>
      </c>
      <c r="AF61" s="52">
        <f>IF(AQ61="2",BH61,0)</f>
        <v>0</v>
      </c>
      <c r="AG61" s="52">
        <f>IF(AQ61="2",BI61,0)</f>
        <v>0</v>
      </c>
      <c r="AH61" s="52">
        <f>IF(AQ61="0",BJ61,0)</f>
        <v>0</v>
      </c>
      <c r="AI61" s="45"/>
      <c r="AJ61" s="3">
        <f>IF(AN61=0,J61,0)</f>
        <v>0</v>
      </c>
      <c r="AK61" s="3">
        <f>IF(AN61=15,J61,0)</f>
        <v>0</v>
      </c>
      <c r="AL61" s="3">
        <f>IF(AN61=21,J61,0)</f>
        <v>0</v>
      </c>
      <c r="AN61" s="52">
        <v>21</v>
      </c>
      <c r="AO61" s="52">
        <f>G61*0.466665443681535</f>
        <v>0</v>
      </c>
      <c r="AP61" s="52">
        <f>G61*(1-0.466665443681535)</f>
        <v>0</v>
      </c>
      <c r="AQ61" s="49" t="s">
        <v>13</v>
      </c>
      <c r="AV61" s="52">
        <f>AW61+AX61</f>
        <v>0</v>
      </c>
      <c r="AW61" s="52">
        <f>F61*AO61</f>
        <v>0</v>
      </c>
      <c r="AX61" s="52">
        <f>F61*AP61</f>
        <v>0</v>
      </c>
      <c r="AY61" s="53" t="s">
        <v>393</v>
      </c>
      <c r="AZ61" s="53" t="s">
        <v>416</v>
      </c>
      <c r="BA61" s="45" t="s">
        <v>420</v>
      </c>
      <c r="BC61" s="52">
        <f>AW61+AX61</f>
        <v>0</v>
      </c>
      <c r="BD61" s="52">
        <f>G61/(100-BE61)*100</f>
        <v>0</v>
      </c>
      <c r="BE61" s="52">
        <v>0</v>
      </c>
      <c r="BF61" s="52">
        <f>L61</f>
        <v>0.00689304</v>
      </c>
      <c r="BH61" s="3">
        <f>F61*AO61</f>
        <v>0</v>
      </c>
      <c r="BI61" s="3">
        <f>F61*AP61</f>
        <v>0</v>
      </c>
      <c r="BJ61" s="3">
        <f>F61*G61</f>
        <v>0</v>
      </c>
    </row>
    <row r="62" spans="1:62" ht="12.75">
      <c r="A62" s="1" t="s">
        <v>44</v>
      </c>
      <c r="B62" s="1"/>
      <c r="C62" s="1" t="s">
        <v>129</v>
      </c>
      <c r="D62" s="1" t="s">
        <v>235</v>
      </c>
      <c r="E62" s="1" t="s">
        <v>291</v>
      </c>
      <c r="F62" s="3">
        <f>'Rozpočet - vybrané sloupce'!AR61</f>
        <v>16.412</v>
      </c>
      <c r="G62" s="3">
        <f>'Rozpočet - vybrané sloupce'!AW61</f>
        <v>0</v>
      </c>
      <c r="H62" s="3">
        <f>F62*AO62</f>
        <v>0</v>
      </c>
      <c r="I62" s="3">
        <f>F62*AP62</f>
        <v>0</v>
      </c>
      <c r="J62" s="3">
        <f>F62*G62</f>
        <v>0</v>
      </c>
      <c r="K62" s="3">
        <v>0.00504</v>
      </c>
      <c r="L62" s="3">
        <f>F62*K62</f>
        <v>0.08271648</v>
      </c>
      <c r="M62" s="49" t="s">
        <v>369</v>
      </c>
      <c r="Z62" s="52">
        <f>IF(AQ62="5",BJ62,0)</f>
        <v>0</v>
      </c>
      <c r="AB62" s="52">
        <f>IF(AQ62="1",BH62,0)</f>
        <v>0</v>
      </c>
      <c r="AC62" s="52">
        <f>IF(AQ62="1",BI62,0)</f>
        <v>0</v>
      </c>
      <c r="AD62" s="52">
        <f>IF(AQ62="7",BH62,0)</f>
        <v>0</v>
      </c>
      <c r="AE62" s="52">
        <f>IF(AQ62="7",BI62,0)</f>
        <v>0</v>
      </c>
      <c r="AF62" s="52">
        <f>IF(AQ62="2",BH62,0)</f>
        <v>0</v>
      </c>
      <c r="AG62" s="52">
        <f>IF(AQ62="2",BI62,0)</f>
        <v>0</v>
      </c>
      <c r="AH62" s="52">
        <f>IF(AQ62="0",BJ62,0)</f>
        <v>0</v>
      </c>
      <c r="AI62" s="45"/>
      <c r="AJ62" s="3">
        <f>IF(AN62=0,J62,0)</f>
        <v>0</v>
      </c>
      <c r="AK62" s="3">
        <f>IF(AN62=15,J62,0)</f>
        <v>0</v>
      </c>
      <c r="AL62" s="3">
        <f>IF(AN62=21,J62,0)</f>
        <v>0</v>
      </c>
      <c r="AN62" s="52">
        <v>21</v>
      </c>
      <c r="AO62" s="52">
        <f>G62*0.173322048113732</f>
        <v>0</v>
      </c>
      <c r="AP62" s="52">
        <f>G62*(1-0.173322048113732)</f>
        <v>0</v>
      </c>
      <c r="AQ62" s="49" t="s">
        <v>13</v>
      </c>
      <c r="AV62" s="52">
        <f>AW62+AX62</f>
        <v>0</v>
      </c>
      <c r="AW62" s="52">
        <f>F62*AO62</f>
        <v>0</v>
      </c>
      <c r="AX62" s="52">
        <f>F62*AP62</f>
        <v>0</v>
      </c>
      <c r="AY62" s="53" t="s">
        <v>393</v>
      </c>
      <c r="AZ62" s="53" t="s">
        <v>416</v>
      </c>
      <c r="BA62" s="45" t="s">
        <v>420</v>
      </c>
      <c r="BC62" s="52">
        <f>AW62+AX62</f>
        <v>0</v>
      </c>
      <c r="BD62" s="52">
        <f>G62/(100-BE62)*100</f>
        <v>0</v>
      </c>
      <c r="BE62" s="52">
        <v>0</v>
      </c>
      <c r="BF62" s="52">
        <f>L62</f>
        <v>0.08271648</v>
      </c>
      <c r="BH62" s="3">
        <f>F62*AO62</f>
        <v>0</v>
      </c>
      <c r="BI62" s="3">
        <f>F62*AP62</f>
        <v>0</v>
      </c>
      <c r="BJ62" s="3">
        <f>F62*G62</f>
        <v>0</v>
      </c>
    </row>
    <row r="63" spans="1:47" ht="12.75">
      <c r="A63" s="30"/>
      <c r="B63" s="36"/>
      <c r="C63" s="36" t="s">
        <v>130</v>
      </c>
      <c r="D63" s="36" t="s">
        <v>236</v>
      </c>
      <c r="E63" s="30" t="s">
        <v>6</v>
      </c>
      <c r="F63" s="30" t="s">
        <v>6</v>
      </c>
      <c r="G63" s="30" t="s">
        <v>6</v>
      </c>
      <c r="H63" s="6">
        <f>SUM(H64:H66)</f>
        <v>0</v>
      </c>
      <c r="I63" s="6">
        <f>SUM(I64:I66)</f>
        <v>0</v>
      </c>
      <c r="J63" s="6">
        <f>SUM(J64:J66)</f>
        <v>0</v>
      </c>
      <c r="K63" s="45"/>
      <c r="L63" s="6">
        <f>SUM(L64:L66)</f>
        <v>0.33563400000000004</v>
      </c>
      <c r="M63" s="45"/>
      <c r="AI63" s="45"/>
      <c r="AS63" s="6">
        <f>SUM(AJ64:AJ66)</f>
        <v>0</v>
      </c>
      <c r="AT63" s="6">
        <f>SUM(AK64:AK66)</f>
        <v>0</v>
      </c>
      <c r="AU63" s="6">
        <f>SUM(AL64:AL66)</f>
        <v>0</v>
      </c>
    </row>
    <row r="64" spans="1:62" ht="12.75">
      <c r="A64" s="1" t="s">
        <v>45</v>
      </c>
      <c r="B64" s="1"/>
      <c r="C64" s="1" t="s">
        <v>131</v>
      </c>
      <c r="D64" s="1" t="s">
        <v>237</v>
      </c>
      <c r="E64" s="1" t="s">
        <v>291</v>
      </c>
      <c r="F64" s="3">
        <f>'Rozpočet - vybrané sloupce'!AR63</f>
        <v>66.2</v>
      </c>
      <c r="G64" s="3">
        <f>'Rozpočet - vybrané sloupce'!AW63</f>
        <v>0</v>
      </c>
      <c r="H64" s="3">
        <f>F64*AO64</f>
        <v>0</v>
      </c>
      <c r="I64" s="3">
        <f>F64*AP64</f>
        <v>0</v>
      </c>
      <c r="J64" s="3">
        <f>F64*G64</f>
        <v>0</v>
      </c>
      <c r="K64" s="3">
        <v>0</v>
      </c>
      <c r="L64" s="3">
        <f>F64*K64</f>
        <v>0</v>
      </c>
      <c r="M64" s="49" t="s">
        <v>369</v>
      </c>
      <c r="Z64" s="52">
        <f>IF(AQ64="5",BJ64,0)</f>
        <v>0</v>
      </c>
      <c r="AB64" s="52">
        <f>IF(AQ64="1",BH64,0)</f>
        <v>0</v>
      </c>
      <c r="AC64" s="52">
        <f>IF(AQ64="1",BI64,0)</f>
        <v>0</v>
      </c>
      <c r="AD64" s="52">
        <f>IF(AQ64="7",BH64,0)</f>
        <v>0</v>
      </c>
      <c r="AE64" s="52">
        <f>IF(AQ64="7",BI64,0)</f>
        <v>0</v>
      </c>
      <c r="AF64" s="52">
        <f>IF(AQ64="2",BH64,0)</f>
        <v>0</v>
      </c>
      <c r="AG64" s="52">
        <f>IF(AQ64="2",BI64,0)</f>
        <v>0</v>
      </c>
      <c r="AH64" s="52">
        <f>IF(AQ64="0",BJ64,0)</f>
        <v>0</v>
      </c>
      <c r="AI64" s="45"/>
      <c r="AJ64" s="3">
        <f>IF(AN64=0,J64,0)</f>
        <v>0</v>
      </c>
      <c r="AK64" s="3">
        <f>IF(AN64=15,J64,0)</f>
        <v>0</v>
      </c>
      <c r="AL64" s="3">
        <f>IF(AN64=21,J64,0)</f>
        <v>0</v>
      </c>
      <c r="AN64" s="52">
        <v>21</v>
      </c>
      <c r="AO64" s="52">
        <f>G64*0</f>
        <v>0</v>
      </c>
      <c r="AP64" s="52">
        <f>G64*(1-0)</f>
        <v>0</v>
      </c>
      <c r="AQ64" s="49" t="s">
        <v>13</v>
      </c>
      <c r="AV64" s="52">
        <f>AW64+AX64</f>
        <v>0</v>
      </c>
      <c r="AW64" s="52">
        <f>F64*AO64</f>
        <v>0</v>
      </c>
      <c r="AX64" s="52">
        <f>F64*AP64</f>
        <v>0</v>
      </c>
      <c r="AY64" s="53" t="s">
        <v>394</v>
      </c>
      <c r="AZ64" s="53" t="s">
        <v>417</v>
      </c>
      <c r="BA64" s="45" t="s">
        <v>420</v>
      </c>
      <c r="BC64" s="52">
        <f>AW64+AX64</f>
        <v>0</v>
      </c>
      <c r="BD64" s="52">
        <f>G64/(100-BE64)*100</f>
        <v>0</v>
      </c>
      <c r="BE64" s="52">
        <v>0</v>
      </c>
      <c r="BF64" s="52">
        <f>L64</f>
        <v>0</v>
      </c>
      <c r="BH64" s="3">
        <f>F64*AO64</f>
        <v>0</v>
      </c>
      <c r="BI64" s="3">
        <f>F64*AP64</f>
        <v>0</v>
      </c>
      <c r="BJ64" s="3">
        <f>F64*G64</f>
        <v>0</v>
      </c>
    </row>
    <row r="65" spans="1:62" ht="12.75">
      <c r="A65" s="1" t="s">
        <v>46</v>
      </c>
      <c r="B65" s="1"/>
      <c r="C65" s="1" t="s">
        <v>132</v>
      </c>
      <c r="D65" s="1" t="s">
        <v>238</v>
      </c>
      <c r="E65" s="1" t="s">
        <v>291</v>
      </c>
      <c r="F65" s="3">
        <f>'Rozpočet - vybrané sloupce'!AR64</f>
        <v>66.2</v>
      </c>
      <c r="G65" s="3">
        <f>'Rozpočet - vybrané sloupce'!AW64</f>
        <v>0</v>
      </c>
      <c r="H65" s="3">
        <f>F65*AO65</f>
        <v>0</v>
      </c>
      <c r="I65" s="3">
        <f>F65*AP65</f>
        <v>0</v>
      </c>
      <c r="J65" s="3">
        <f>F65*G65</f>
        <v>0</v>
      </c>
      <c r="K65" s="3">
        <v>0.00016</v>
      </c>
      <c r="L65" s="3">
        <f>F65*K65</f>
        <v>0.010592</v>
      </c>
      <c r="M65" s="49" t="s">
        <v>369</v>
      </c>
      <c r="Z65" s="52">
        <f>IF(AQ65="5",BJ65,0)</f>
        <v>0</v>
      </c>
      <c r="AB65" s="52">
        <f>IF(AQ65="1",BH65,0)</f>
        <v>0</v>
      </c>
      <c r="AC65" s="52">
        <f>IF(AQ65="1",BI65,0)</f>
        <v>0</v>
      </c>
      <c r="AD65" s="52">
        <f>IF(AQ65="7",BH65,0)</f>
        <v>0</v>
      </c>
      <c r="AE65" s="52">
        <f>IF(AQ65="7",BI65,0)</f>
        <v>0</v>
      </c>
      <c r="AF65" s="52">
        <f>IF(AQ65="2",BH65,0)</f>
        <v>0</v>
      </c>
      <c r="AG65" s="52">
        <f>IF(AQ65="2",BI65,0)</f>
        <v>0</v>
      </c>
      <c r="AH65" s="52">
        <f>IF(AQ65="0",BJ65,0)</f>
        <v>0</v>
      </c>
      <c r="AI65" s="45"/>
      <c r="AJ65" s="3">
        <f>IF(AN65=0,J65,0)</f>
        <v>0</v>
      </c>
      <c r="AK65" s="3">
        <f>IF(AN65=15,J65,0)</f>
        <v>0</v>
      </c>
      <c r="AL65" s="3">
        <f>IF(AN65=21,J65,0)</f>
        <v>0</v>
      </c>
      <c r="AN65" s="52">
        <v>21</v>
      </c>
      <c r="AO65" s="52">
        <f>G65*0.396593673965937</f>
        <v>0</v>
      </c>
      <c r="AP65" s="52">
        <f>G65*(1-0.396593673965937)</f>
        <v>0</v>
      </c>
      <c r="AQ65" s="49" t="s">
        <v>13</v>
      </c>
      <c r="AV65" s="52">
        <f>AW65+AX65</f>
        <v>0</v>
      </c>
      <c r="AW65" s="52">
        <f>F65*AO65</f>
        <v>0</v>
      </c>
      <c r="AX65" s="52">
        <f>F65*AP65</f>
        <v>0</v>
      </c>
      <c r="AY65" s="53" t="s">
        <v>394</v>
      </c>
      <c r="AZ65" s="53" t="s">
        <v>417</v>
      </c>
      <c r="BA65" s="45" t="s">
        <v>420</v>
      </c>
      <c r="BC65" s="52">
        <f>AW65+AX65</f>
        <v>0</v>
      </c>
      <c r="BD65" s="52">
        <f>G65/(100-BE65)*100</f>
        <v>0</v>
      </c>
      <c r="BE65" s="52">
        <v>0</v>
      </c>
      <c r="BF65" s="52">
        <f>L65</f>
        <v>0.010592</v>
      </c>
      <c r="BH65" s="3">
        <f>F65*AO65</f>
        <v>0</v>
      </c>
      <c r="BI65" s="3">
        <f>F65*AP65</f>
        <v>0</v>
      </c>
      <c r="BJ65" s="3">
        <f>F65*G65</f>
        <v>0</v>
      </c>
    </row>
    <row r="66" spans="1:62" ht="12.75">
      <c r="A66" s="1" t="s">
        <v>47</v>
      </c>
      <c r="B66" s="1"/>
      <c r="C66" s="1" t="s">
        <v>133</v>
      </c>
      <c r="D66" s="1" t="s">
        <v>239</v>
      </c>
      <c r="E66" s="1" t="s">
        <v>291</v>
      </c>
      <c r="F66" s="3">
        <f>'Rozpočet - vybrané sloupce'!AR65</f>
        <v>66.2</v>
      </c>
      <c r="G66" s="3">
        <f>'Rozpočet - vybrané sloupce'!AW65</f>
        <v>0</v>
      </c>
      <c r="H66" s="3">
        <f>F66*AO66</f>
        <v>0</v>
      </c>
      <c r="I66" s="3">
        <f>F66*AP66</f>
        <v>0</v>
      </c>
      <c r="J66" s="3">
        <f>F66*G66</f>
        <v>0</v>
      </c>
      <c r="K66" s="3">
        <v>0.00491</v>
      </c>
      <c r="L66" s="3">
        <f>F66*K66</f>
        <v>0.32504200000000005</v>
      </c>
      <c r="M66" s="49" t="s">
        <v>369</v>
      </c>
      <c r="Z66" s="52">
        <f>IF(AQ66="5",BJ66,0)</f>
        <v>0</v>
      </c>
      <c r="AB66" s="52">
        <f>IF(AQ66="1",BH66,0)</f>
        <v>0</v>
      </c>
      <c r="AC66" s="52">
        <f>IF(AQ66="1",BI66,0)</f>
        <v>0</v>
      </c>
      <c r="AD66" s="52">
        <f>IF(AQ66="7",BH66,0)</f>
        <v>0</v>
      </c>
      <c r="AE66" s="52">
        <f>IF(AQ66="7",BI66,0)</f>
        <v>0</v>
      </c>
      <c r="AF66" s="52">
        <f>IF(AQ66="2",BH66,0)</f>
        <v>0</v>
      </c>
      <c r="AG66" s="52">
        <f>IF(AQ66="2",BI66,0)</f>
        <v>0</v>
      </c>
      <c r="AH66" s="52">
        <f>IF(AQ66="0",BJ66,0)</f>
        <v>0</v>
      </c>
      <c r="AI66" s="45"/>
      <c r="AJ66" s="3">
        <f>IF(AN66=0,J66,0)</f>
        <v>0</v>
      </c>
      <c r="AK66" s="3">
        <f>IF(AN66=15,J66,0)</f>
        <v>0</v>
      </c>
      <c r="AL66" s="3">
        <f>IF(AN66=21,J66,0)</f>
        <v>0</v>
      </c>
      <c r="AN66" s="52">
        <v>21</v>
      </c>
      <c r="AO66" s="52">
        <f>G66*0.137764505119454</f>
        <v>0</v>
      </c>
      <c r="AP66" s="52">
        <f>G66*(1-0.137764505119454)</f>
        <v>0</v>
      </c>
      <c r="AQ66" s="49" t="s">
        <v>13</v>
      </c>
      <c r="AV66" s="52">
        <f>AW66+AX66</f>
        <v>0</v>
      </c>
      <c r="AW66" s="52">
        <f>F66*AO66</f>
        <v>0</v>
      </c>
      <c r="AX66" s="52">
        <f>F66*AP66</f>
        <v>0</v>
      </c>
      <c r="AY66" s="53" t="s">
        <v>394</v>
      </c>
      <c r="AZ66" s="53" t="s">
        <v>417</v>
      </c>
      <c r="BA66" s="45" t="s">
        <v>420</v>
      </c>
      <c r="BC66" s="52">
        <f>AW66+AX66</f>
        <v>0</v>
      </c>
      <c r="BD66" s="52">
        <f>G66/(100-BE66)*100</f>
        <v>0</v>
      </c>
      <c r="BE66" s="52">
        <v>0</v>
      </c>
      <c r="BF66" s="52">
        <f>L66</f>
        <v>0.32504200000000005</v>
      </c>
      <c r="BH66" s="3">
        <f>F66*AO66</f>
        <v>0</v>
      </c>
      <c r="BI66" s="3">
        <f>F66*AP66</f>
        <v>0</v>
      </c>
      <c r="BJ66" s="3">
        <f>F66*G66</f>
        <v>0</v>
      </c>
    </row>
    <row r="67" spans="1:47" ht="12.75">
      <c r="A67" s="30"/>
      <c r="B67" s="36"/>
      <c r="C67" s="36" t="s">
        <v>134</v>
      </c>
      <c r="D67" s="36" t="s">
        <v>240</v>
      </c>
      <c r="E67" s="30" t="s">
        <v>6</v>
      </c>
      <c r="F67" s="30" t="s">
        <v>6</v>
      </c>
      <c r="G67" s="30" t="s">
        <v>6</v>
      </c>
      <c r="H67" s="6">
        <f>SUM(H68:H68)</f>
        <v>0</v>
      </c>
      <c r="I67" s="6">
        <f>SUM(I68:I68)</f>
        <v>0</v>
      </c>
      <c r="J67" s="6">
        <f>SUM(J68:J68)</f>
        <v>0</v>
      </c>
      <c r="K67" s="45"/>
      <c r="L67" s="6">
        <f>SUM(L68:L68)</f>
        <v>0.00041</v>
      </c>
      <c r="M67" s="45"/>
      <c r="AI67" s="45"/>
      <c r="AS67" s="6">
        <f>SUM(AJ68:AJ68)</f>
        <v>0</v>
      </c>
      <c r="AT67" s="6">
        <f>SUM(AK68:AK68)</f>
        <v>0</v>
      </c>
      <c r="AU67" s="6">
        <f>SUM(AL68:AL68)</f>
        <v>0</v>
      </c>
    </row>
    <row r="68" spans="1:62" ht="12.75">
      <c r="A68" s="1" t="s">
        <v>48</v>
      </c>
      <c r="B68" s="1"/>
      <c r="C68" s="1" t="s">
        <v>135</v>
      </c>
      <c r="D68" s="1" t="s">
        <v>241</v>
      </c>
      <c r="E68" s="1" t="s">
        <v>293</v>
      </c>
      <c r="F68" s="3">
        <f>'Rozpočet - vybrané sloupce'!AR67</f>
        <v>1</v>
      </c>
      <c r="G68" s="3">
        <f>'Rozpočet - vybrané sloupce'!AW67</f>
        <v>0</v>
      </c>
      <c r="H68" s="3">
        <f>F68*AO68</f>
        <v>0</v>
      </c>
      <c r="I68" s="3">
        <f>F68*AP68</f>
        <v>0</v>
      </c>
      <c r="J68" s="3">
        <f>F68*G68</f>
        <v>0</v>
      </c>
      <c r="K68" s="3">
        <v>0.00041</v>
      </c>
      <c r="L68" s="3">
        <f>F68*K68</f>
        <v>0.00041</v>
      </c>
      <c r="M68" s="49" t="s">
        <v>369</v>
      </c>
      <c r="Z68" s="52">
        <f>IF(AQ68="5",BJ68,0)</f>
        <v>0</v>
      </c>
      <c r="AB68" s="52">
        <f>IF(AQ68="1",BH68,0)</f>
        <v>0</v>
      </c>
      <c r="AC68" s="52">
        <f>IF(AQ68="1",BI68,0)</f>
        <v>0</v>
      </c>
      <c r="AD68" s="52">
        <f>IF(AQ68="7",BH68,0)</f>
        <v>0</v>
      </c>
      <c r="AE68" s="52">
        <f>IF(AQ68="7",BI68,0)</f>
        <v>0</v>
      </c>
      <c r="AF68" s="52">
        <f>IF(AQ68="2",BH68,0)</f>
        <v>0</v>
      </c>
      <c r="AG68" s="52">
        <f>IF(AQ68="2",BI68,0)</f>
        <v>0</v>
      </c>
      <c r="AH68" s="52">
        <f>IF(AQ68="0",BJ68,0)</f>
        <v>0</v>
      </c>
      <c r="AI68" s="45"/>
      <c r="AJ68" s="3">
        <f>IF(AN68=0,J68,0)</f>
        <v>0</v>
      </c>
      <c r="AK68" s="3">
        <f>IF(AN68=15,J68,0)</f>
        <v>0</v>
      </c>
      <c r="AL68" s="3">
        <f>IF(AN68=21,J68,0)</f>
        <v>0</v>
      </c>
      <c r="AN68" s="52">
        <v>21</v>
      </c>
      <c r="AO68" s="52">
        <f>G68*0.478142857142857</f>
        <v>0</v>
      </c>
      <c r="AP68" s="52">
        <f>G68*(1-0.478142857142857)</f>
        <v>0</v>
      </c>
      <c r="AQ68" s="49" t="s">
        <v>13</v>
      </c>
      <c r="AV68" s="52">
        <f>AW68+AX68</f>
        <v>0</v>
      </c>
      <c r="AW68" s="52">
        <f>F68*AO68</f>
        <v>0</v>
      </c>
      <c r="AX68" s="52">
        <f>F68*AP68</f>
        <v>0</v>
      </c>
      <c r="AY68" s="53" t="s">
        <v>395</v>
      </c>
      <c r="AZ68" s="53" t="s">
        <v>417</v>
      </c>
      <c r="BA68" s="45" t="s">
        <v>420</v>
      </c>
      <c r="BC68" s="52">
        <f>AW68+AX68</f>
        <v>0</v>
      </c>
      <c r="BD68" s="52">
        <f>G68/(100-BE68)*100</f>
        <v>0</v>
      </c>
      <c r="BE68" s="52">
        <v>0</v>
      </c>
      <c r="BF68" s="52">
        <f>L68</f>
        <v>0.00041</v>
      </c>
      <c r="BH68" s="3">
        <f>F68*AO68</f>
        <v>0</v>
      </c>
      <c r="BI68" s="3">
        <f>F68*AP68</f>
        <v>0</v>
      </c>
      <c r="BJ68" s="3">
        <f>F68*G68</f>
        <v>0</v>
      </c>
    </row>
    <row r="69" spans="1:47" ht="12.75">
      <c r="A69" s="30"/>
      <c r="B69" s="36"/>
      <c r="C69" s="36" t="s">
        <v>136</v>
      </c>
      <c r="D69" s="36" t="s">
        <v>242</v>
      </c>
      <c r="E69" s="30" t="s">
        <v>6</v>
      </c>
      <c r="F69" s="30" t="s">
        <v>6</v>
      </c>
      <c r="G69" s="30" t="s">
        <v>6</v>
      </c>
      <c r="H69" s="6">
        <f>SUM(H70:H74)</f>
        <v>0</v>
      </c>
      <c r="I69" s="6">
        <f>SUM(I70:I74)</f>
        <v>0</v>
      </c>
      <c r="J69" s="6">
        <f>SUM(J70:J74)</f>
        <v>0</v>
      </c>
      <c r="K69" s="45"/>
      <c r="L69" s="6">
        <f>SUM(L70:L74)</f>
        <v>0.0280438</v>
      </c>
      <c r="M69" s="45"/>
      <c r="AI69" s="45"/>
      <c r="AS69" s="6">
        <f>SUM(AJ70:AJ74)</f>
        <v>0</v>
      </c>
      <c r="AT69" s="6">
        <f>SUM(AK70:AK74)</f>
        <v>0</v>
      </c>
      <c r="AU69" s="6">
        <f>SUM(AL70:AL74)</f>
        <v>0</v>
      </c>
    </row>
    <row r="70" spans="1:62" ht="12.75">
      <c r="A70" s="1" t="s">
        <v>49</v>
      </c>
      <c r="B70" s="1"/>
      <c r="C70" s="1" t="s">
        <v>137</v>
      </c>
      <c r="D70" s="1" t="s">
        <v>243</v>
      </c>
      <c r="E70" s="1" t="s">
        <v>291</v>
      </c>
      <c r="F70" s="3">
        <f>'Rozpočet - vybrané sloupce'!AR69</f>
        <v>32.52</v>
      </c>
      <c r="G70" s="3">
        <f>'Rozpočet - vybrané sloupce'!AW69</f>
        <v>0</v>
      </c>
      <c r="H70" s="3">
        <f>F70*AO70</f>
        <v>0</v>
      </c>
      <c r="I70" s="3">
        <f>F70*AP70</f>
        <v>0</v>
      </c>
      <c r="J70" s="3">
        <f>F70*G70</f>
        <v>0</v>
      </c>
      <c r="K70" s="3">
        <v>0</v>
      </c>
      <c r="L70" s="3">
        <f>F70*K70</f>
        <v>0</v>
      </c>
      <c r="M70" s="49" t="s">
        <v>369</v>
      </c>
      <c r="Z70" s="52">
        <f>IF(AQ70="5",BJ70,0)</f>
        <v>0</v>
      </c>
      <c r="AB70" s="52">
        <f>IF(AQ70="1",BH70,0)</f>
        <v>0</v>
      </c>
      <c r="AC70" s="52">
        <f>IF(AQ70="1",BI70,0)</f>
        <v>0</v>
      </c>
      <c r="AD70" s="52">
        <f>IF(AQ70="7",BH70,0)</f>
        <v>0</v>
      </c>
      <c r="AE70" s="52">
        <f>IF(AQ70="7",BI70,0)</f>
        <v>0</v>
      </c>
      <c r="AF70" s="52">
        <f>IF(AQ70="2",BH70,0)</f>
        <v>0</v>
      </c>
      <c r="AG70" s="52">
        <f>IF(AQ70="2",BI70,0)</f>
        <v>0</v>
      </c>
      <c r="AH70" s="52">
        <f>IF(AQ70="0",BJ70,0)</f>
        <v>0</v>
      </c>
      <c r="AI70" s="45"/>
      <c r="AJ70" s="3">
        <f>IF(AN70=0,J70,0)</f>
        <v>0</v>
      </c>
      <c r="AK70" s="3">
        <f>IF(AN70=15,J70,0)</f>
        <v>0</v>
      </c>
      <c r="AL70" s="3">
        <f>IF(AN70=21,J70,0)</f>
        <v>0</v>
      </c>
      <c r="AN70" s="52">
        <v>21</v>
      </c>
      <c r="AO70" s="52">
        <f>G70*0.00271002509282493</f>
        <v>0</v>
      </c>
      <c r="AP70" s="52">
        <f>G70*(1-0.00271002509282493)</f>
        <v>0</v>
      </c>
      <c r="AQ70" s="49" t="s">
        <v>13</v>
      </c>
      <c r="AV70" s="52">
        <f>AW70+AX70</f>
        <v>0</v>
      </c>
      <c r="AW70" s="52">
        <f>F70*AO70</f>
        <v>0</v>
      </c>
      <c r="AX70" s="52">
        <f>F70*AP70</f>
        <v>0</v>
      </c>
      <c r="AY70" s="53" t="s">
        <v>396</v>
      </c>
      <c r="AZ70" s="53" t="s">
        <v>417</v>
      </c>
      <c r="BA70" s="45" t="s">
        <v>420</v>
      </c>
      <c r="BC70" s="52">
        <f>AW70+AX70</f>
        <v>0</v>
      </c>
      <c r="BD70" s="52">
        <f>G70/(100-BE70)*100</f>
        <v>0</v>
      </c>
      <c r="BE70" s="52">
        <v>0</v>
      </c>
      <c r="BF70" s="52">
        <f>L70</f>
        <v>0</v>
      </c>
      <c r="BH70" s="3">
        <f>F70*AO70</f>
        <v>0</v>
      </c>
      <c r="BI70" s="3">
        <f>F70*AP70</f>
        <v>0</v>
      </c>
      <c r="BJ70" s="3">
        <f>F70*G70</f>
        <v>0</v>
      </c>
    </row>
    <row r="71" spans="1:62" ht="12.75">
      <c r="A71" s="1" t="s">
        <v>50</v>
      </c>
      <c r="B71" s="1"/>
      <c r="C71" s="1" t="s">
        <v>138</v>
      </c>
      <c r="D71" s="1" t="s">
        <v>244</v>
      </c>
      <c r="E71" s="1" t="s">
        <v>291</v>
      </c>
      <c r="F71" s="3">
        <f>'Rozpočet - vybrané sloupce'!AR70</f>
        <v>48.932</v>
      </c>
      <c r="G71" s="3">
        <f>'Rozpočet - vybrané sloupce'!AW70</f>
        <v>0</v>
      </c>
      <c r="H71" s="3">
        <f>F71*AO71</f>
        <v>0</v>
      </c>
      <c r="I71" s="3">
        <f>F71*AP71</f>
        <v>0</v>
      </c>
      <c r="J71" s="3">
        <f>F71*G71</f>
        <v>0</v>
      </c>
      <c r="K71" s="3">
        <v>0.0002</v>
      </c>
      <c r="L71" s="3">
        <f>F71*K71</f>
        <v>0.0097864</v>
      </c>
      <c r="M71" s="49" t="s">
        <v>369</v>
      </c>
      <c r="Z71" s="52">
        <f>IF(AQ71="5",BJ71,0)</f>
        <v>0</v>
      </c>
      <c r="AB71" s="52">
        <f>IF(AQ71="1",BH71,0)</f>
        <v>0</v>
      </c>
      <c r="AC71" s="52">
        <f>IF(AQ71="1",BI71,0)</f>
        <v>0</v>
      </c>
      <c r="AD71" s="52">
        <f>IF(AQ71="7",BH71,0)</f>
        <v>0</v>
      </c>
      <c r="AE71" s="52">
        <f>IF(AQ71="7",BI71,0)</f>
        <v>0</v>
      </c>
      <c r="AF71" s="52">
        <f>IF(AQ71="2",BH71,0)</f>
        <v>0</v>
      </c>
      <c r="AG71" s="52">
        <f>IF(AQ71="2",BI71,0)</f>
        <v>0</v>
      </c>
      <c r="AH71" s="52">
        <f>IF(AQ71="0",BJ71,0)</f>
        <v>0</v>
      </c>
      <c r="AI71" s="45"/>
      <c r="AJ71" s="3">
        <f>IF(AN71=0,J71,0)</f>
        <v>0</v>
      </c>
      <c r="AK71" s="3">
        <f>IF(AN71=15,J71,0)</f>
        <v>0</v>
      </c>
      <c r="AL71" s="3">
        <f>IF(AN71=21,J71,0)</f>
        <v>0</v>
      </c>
      <c r="AN71" s="52">
        <v>21</v>
      </c>
      <c r="AO71" s="52">
        <f>G71*0.402946164870579</f>
        <v>0</v>
      </c>
      <c r="AP71" s="52">
        <f>G71*(1-0.402946164870579)</f>
        <v>0</v>
      </c>
      <c r="AQ71" s="49" t="s">
        <v>13</v>
      </c>
      <c r="AV71" s="52">
        <f>AW71+AX71</f>
        <v>0</v>
      </c>
      <c r="AW71" s="52">
        <f>F71*AO71</f>
        <v>0</v>
      </c>
      <c r="AX71" s="52">
        <f>F71*AP71</f>
        <v>0</v>
      </c>
      <c r="AY71" s="53" t="s">
        <v>396</v>
      </c>
      <c r="AZ71" s="53" t="s">
        <v>417</v>
      </c>
      <c r="BA71" s="45" t="s">
        <v>420</v>
      </c>
      <c r="BC71" s="52">
        <f>AW71+AX71</f>
        <v>0</v>
      </c>
      <c r="BD71" s="52">
        <f>G71/(100-BE71)*100</f>
        <v>0</v>
      </c>
      <c r="BE71" s="52">
        <v>0</v>
      </c>
      <c r="BF71" s="52">
        <f>L71</f>
        <v>0.0097864</v>
      </c>
      <c r="BH71" s="3">
        <f>F71*AO71</f>
        <v>0</v>
      </c>
      <c r="BI71" s="3">
        <f>F71*AP71</f>
        <v>0</v>
      </c>
      <c r="BJ71" s="3">
        <f>F71*G71</f>
        <v>0</v>
      </c>
    </row>
    <row r="72" spans="1:62" ht="12.75">
      <c r="A72" s="1" t="s">
        <v>51</v>
      </c>
      <c r="B72" s="1"/>
      <c r="C72" s="1" t="s">
        <v>139</v>
      </c>
      <c r="D72" s="1" t="s">
        <v>245</v>
      </c>
      <c r="E72" s="1" t="s">
        <v>291</v>
      </c>
      <c r="F72" s="3">
        <f>'Rozpočet - vybrané sloupce'!AR71</f>
        <v>32.52</v>
      </c>
      <c r="G72" s="3">
        <f>'Rozpočet - vybrané sloupce'!AW71</f>
        <v>0</v>
      </c>
      <c r="H72" s="3">
        <f>F72*AO72</f>
        <v>0</v>
      </c>
      <c r="I72" s="3">
        <f>F72*AP72</f>
        <v>0</v>
      </c>
      <c r="J72" s="3">
        <f>F72*G72</f>
        <v>0</v>
      </c>
      <c r="K72" s="3">
        <v>0.00022</v>
      </c>
      <c r="L72" s="3">
        <f>F72*K72</f>
        <v>0.007154400000000001</v>
      </c>
      <c r="M72" s="49" t="s">
        <v>369</v>
      </c>
      <c r="Z72" s="52">
        <f>IF(AQ72="5",BJ72,0)</f>
        <v>0</v>
      </c>
      <c r="AB72" s="52">
        <f>IF(AQ72="1",BH72,0)</f>
        <v>0</v>
      </c>
      <c r="AC72" s="52">
        <f>IF(AQ72="1",BI72,0)</f>
        <v>0</v>
      </c>
      <c r="AD72" s="52">
        <f>IF(AQ72="7",BH72,0)</f>
        <v>0</v>
      </c>
      <c r="AE72" s="52">
        <f>IF(AQ72="7",BI72,0)</f>
        <v>0</v>
      </c>
      <c r="AF72" s="52">
        <f>IF(AQ72="2",BH72,0)</f>
        <v>0</v>
      </c>
      <c r="AG72" s="52">
        <f>IF(AQ72="2",BI72,0)</f>
        <v>0</v>
      </c>
      <c r="AH72" s="52">
        <f>IF(AQ72="0",BJ72,0)</f>
        <v>0</v>
      </c>
      <c r="AI72" s="45"/>
      <c r="AJ72" s="3">
        <f>IF(AN72=0,J72,0)</f>
        <v>0</v>
      </c>
      <c r="AK72" s="3">
        <f>IF(AN72=15,J72,0)</f>
        <v>0</v>
      </c>
      <c r="AL72" s="3">
        <f>IF(AN72=21,J72,0)</f>
        <v>0</v>
      </c>
      <c r="AN72" s="52">
        <v>21</v>
      </c>
      <c r="AO72" s="52">
        <f>G72*0.092512709248178</f>
        <v>0</v>
      </c>
      <c r="AP72" s="52">
        <f>G72*(1-0.092512709248178)</f>
        <v>0</v>
      </c>
      <c r="AQ72" s="49" t="s">
        <v>13</v>
      </c>
      <c r="AV72" s="52">
        <f>AW72+AX72</f>
        <v>0</v>
      </c>
      <c r="AW72" s="52">
        <f>F72*AO72</f>
        <v>0</v>
      </c>
      <c r="AX72" s="52">
        <f>F72*AP72</f>
        <v>0</v>
      </c>
      <c r="AY72" s="53" t="s">
        <v>396</v>
      </c>
      <c r="AZ72" s="53" t="s">
        <v>417</v>
      </c>
      <c r="BA72" s="45" t="s">
        <v>420</v>
      </c>
      <c r="BC72" s="52">
        <f>AW72+AX72</f>
        <v>0</v>
      </c>
      <c r="BD72" s="52">
        <f>G72/(100-BE72)*100</f>
        <v>0</v>
      </c>
      <c r="BE72" s="52">
        <v>0</v>
      </c>
      <c r="BF72" s="52">
        <f>L72</f>
        <v>0.007154400000000001</v>
      </c>
      <c r="BH72" s="3">
        <f>F72*AO72</f>
        <v>0</v>
      </c>
      <c r="BI72" s="3">
        <f>F72*AP72</f>
        <v>0</v>
      </c>
      <c r="BJ72" s="3">
        <f>F72*G72</f>
        <v>0</v>
      </c>
    </row>
    <row r="73" spans="1:62" ht="12.75">
      <c r="A73" s="1" t="s">
        <v>52</v>
      </c>
      <c r="B73" s="1"/>
      <c r="C73" s="1" t="s">
        <v>140</v>
      </c>
      <c r="D73" s="1" t="s">
        <v>246</v>
      </c>
      <c r="E73" s="1" t="s">
        <v>291</v>
      </c>
      <c r="F73" s="3">
        <f>'Rozpočet - vybrané sloupce'!AR72</f>
        <v>16.412</v>
      </c>
      <c r="G73" s="3">
        <f>'Rozpočet - vybrané sloupce'!AW72</f>
        <v>0</v>
      </c>
      <c r="H73" s="3">
        <f>F73*AO73</f>
        <v>0</v>
      </c>
      <c r="I73" s="3">
        <f>F73*AP73</f>
        <v>0</v>
      </c>
      <c r="J73" s="3">
        <f>F73*G73</f>
        <v>0</v>
      </c>
      <c r="K73" s="3">
        <v>0.00025</v>
      </c>
      <c r="L73" s="3">
        <f>F73*K73</f>
        <v>0.004103</v>
      </c>
      <c r="M73" s="49" t="s">
        <v>369</v>
      </c>
      <c r="Z73" s="52">
        <f>IF(AQ73="5",BJ73,0)</f>
        <v>0</v>
      </c>
      <c r="AB73" s="52">
        <f>IF(AQ73="1",BH73,0)</f>
        <v>0</v>
      </c>
      <c r="AC73" s="52">
        <f>IF(AQ73="1",BI73,0)</f>
        <v>0</v>
      </c>
      <c r="AD73" s="52">
        <f>IF(AQ73="7",BH73,0)</f>
        <v>0</v>
      </c>
      <c r="AE73" s="52">
        <f>IF(AQ73="7",BI73,0)</f>
        <v>0</v>
      </c>
      <c r="AF73" s="52">
        <f>IF(AQ73="2",BH73,0)</f>
        <v>0</v>
      </c>
      <c r="AG73" s="52">
        <f>IF(AQ73="2",BI73,0)</f>
        <v>0</v>
      </c>
      <c r="AH73" s="52">
        <f>IF(AQ73="0",BJ73,0)</f>
        <v>0</v>
      </c>
      <c r="AI73" s="45"/>
      <c r="AJ73" s="3">
        <f>IF(AN73=0,J73,0)</f>
        <v>0</v>
      </c>
      <c r="AK73" s="3">
        <f>IF(AN73=15,J73,0)</f>
        <v>0</v>
      </c>
      <c r="AL73" s="3">
        <f>IF(AN73=21,J73,0)</f>
        <v>0</v>
      </c>
      <c r="AN73" s="52">
        <v>21</v>
      </c>
      <c r="AO73" s="52">
        <f>G73*0.180788946719341</f>
        <v>0</v>
      </c>
      <c r="AP73" s="52">
        <f>G73*(1-0.180788946719341)</f>
        <v>0</v>
      </c>
      <c r="AQ73" s="49" t="s">
        <v>13</v>
      </c>
      <c r="AV73" s="52">
        <f>AW73+AX73</f>
        <v>0</v>
      </c>
      <c r="AW73" s="52">
        <f>F73*AO73</f>
        <v>0</v>
      </c>
      <c r="AX73" s="52">
        <f>F73*AP73</f>
        <v>0</v>
      </c>
      <c r="AY73" s="53" t="s">
        <v>396</v>
      </c>
      <c r="AZ73" s="53" t="s">
        <v>417</v>
      </c>
      <c r="BA73" s="45" t="s">
        <v>420</v>
      </c>
      <c r="BC73" s="52">
        <f>AW73+AX73</f>
        <v>0</v>
      </c>
      <c r="BD73" s="52">
        <f>G73/(100-BE73)*100</f>
        <v>0</v>
      </c>
      <c r="BE73" s="52">
        <v>0</v>
      </c>
      <c r="BF73" s="52">
        <f>L73</f>
        <v>0.004103</v>
      </c>
      <c r="BH73" s="3">
        <f>F73*AO73</f>
        <v>0</v>
      </c>
      <c r="BI73" s="3">
        <f>F73*AP73</f>
        <v>0</v>
      </c>
      <c r="BJ73" s="3">
        <f>F73*G73</f>
        <v>0</v>
      </c>
    </row>
    <row r="74" spans="1:62" ht="12.75">
      <c r="A74" s="1" t="s">
        <v>53</v>
      </c>
      <c r="B74" s="1"/>
      <c r="C74" s="1" t="s">
        <v>141</v>
      </c>
      <c r="D74" s="1" t="s">
        <v>247</v>
      </c>
      <c r="E74" s="1" t="s">
        <v>291</v>
      </c>
      <c r="F74" s="3">
        <f>'Rozpočet - vybrané sloupce'!AR73</f>
        <v>20</v>
      </c>
      <c r="G74" s="3">
        <f>'Rozpočet - vybrané sloupce'!AW73</f>
        <v>0</v>
      </c>
      <c r="H74" s="3">
        <f>F74*AO74</f>
        <v>0</v>
      </c>
      <c r="I74" s="3">
        <f>F74*AP74</f>
        <v>0</v>
      </c>
      <c r="J74" s="3">
        <f>F74*G74</f>
        <v>0</v>
      </c>
      <c r="K74" s="3">
        <v>0.00035</v>
      </c>
      <c r="L74" s="3">
        <f>F74*K74</f>
        <v>0.007</v>
      </c>
      <c r="M74" s="49" t="s">
        <v>369</v>
      </c>
      <c r="Z74" s="52">
        <f>IF(AQ74="5",BJ74,0)</f>
        <v>0</v>
      </c>
      <c r="AB74" s="52">
        <f>IF(AQ74="1",BH74,0)</f>
        <v>0</v>
      </c>
      <c r="AC74" s="52">
        <f>IF(AQ74="1",BI74,0)</f>
        <v>0</v>
      </c>
      <c r="AD74" s="52">
        <f>IF(AQ74="7",BH74,0)</f>
        <v>0</v>
      </c>
      <c r="AE74" s="52">
        <f>IF(AQ74="7",BI74,0)</f>
        <v>0</v>
      </c>
      <c r="AF74" s="52">
        <f>IF(AQ74="2",BH74,0)</f>
        <v>0</v>
      </c>
      <c r="AG74" s="52">
        <f>IF(AQ74="2",BI74,0)</f>
        <v>0</v>
      </c>
      <c r="AH74" s="52">
        <f>IF(AQ74="0",BJ74,0)</f>
        <v>0</v>
      </c>
      <c r="AI74" s="45"/>
      <c r="AJ74" s="3">
        <f>IF(AN74=0,J74,0)</f>
        <v>0</v>
      </c>
      <c r="AK74" s="3">
        <f>IF(AN74=15,J74,0)</f>
        <v>0</v>
      </c>
      <c r="AL74" s="3">
        <f>IF(AN74=21,J74,0)</f>
        <v>0</v>
      </c>
      <c r="AN74" s="52">
        <v>21</v>
      </c>
      <c r="AO74" s="52">
        <f>G74*0.592356687898089</f>
        <v>0</v>
      </c>
      <c r="AP74" s="52">
        <f>G74*(1-0.592356687898089)</f>
        <v>0</v>
      </c>
      <c r="AQ74" s="49" t="s">
        <v>13</v>
      </c>
      <c r="AV74" s="52">
        <f>AW74+AX74</f>
        <v>0</v>
      </c>
      <c r="AW74" s="52">
        <f>F74*AO74</f>
        <v>0</v>
      </c>
      <c r="AX74" s="52">
        <f>F74*AP74</f>
        <v>0</v>
      </c>
      <c r="AY74" s="53" t="s">
        <v>396</v>
      </c>
      <c r="AZ74" s="53" t="s">
        <v>417</v>
      </c>
      <c r="BA74" s="45" t="s">
        <v>420</v>
      </c>
      <c r="BC74" s="52">
        <f>AW74+AX74</f>
        <v>0</v>
      </c>
      <c r="BD74" s="52">
        <f>G74/(100-BE74)*100</f>
        <v>0</v>
      </c>
      <c r="BE74" s="52">
        <v>0</v>
      </c>
      <c r="BF74" s="52">
        <f>L74</f>
        <v>0.007</v>
      </c>
      <c r="BH74" s="3">
        <f>F74*AO74</f>
        <v>0</v>
      </c>
      <c r="BI74" s="3">
        <f>F74*AP74</f>
        <v>0</v>
      </c>
      <c r="BJ74" s="3">
        <f>F74*G74</f>
        <v>0</v>
      </c>
    </row>
    <row r="75" spans="1:47" ht="12.75">
      <c r="A75" s="30"/>
      <c r="B75" s="36"/>
      <c r="C75" s="36" t="s">
        <v>142</v>
      </c>
      <c r="D75" s="36" t="s">
        <v>248</v>
      </c>
      <c r="E75" s="30" t="s">
        <v>6</v>
      </c>
      <c r="F75" s="30" t="s">
        <v>6</v>
      </c>
      <c r="G75" s="30" t="s">
        <v>6</v>
      </c>
      <c r="H75" s="6">
        <f>SUM(H76:H76)</f>
        <v>0</v>
      </c>
      <c r="I75" s="6">
        <f>SUM(I76:I76)</f>
        <v>0</v>
      </c>
      <c r="J75" s="6">
        <f>SUM(J76:J76)</f>
        <v>0</v>
      </c>
      <c r="K75" s="45"/>
      <c r="L75" s="6">
        <f>SUM(L76:L76)</f>
        <v>0.09715903999999999</v>
      </c>
      <c r="M75" s="45"/>
      <c r="AI75" s="45"/>
      <c r="AS75" s="6">
        <f>SUM(AJ76:AJ76)</f>
        <v>0</v>
      </c>
      <c r="AT75" s="6">
        <f>SUM(AK76:AK76)</f>
        <v>0</v>
      </c>
      <c r="AU75" s="6">
        <f>SUM(AL76:AL76)</f>
        <v>0</v>
      </c>
    </row>
    <row r="76" spans="1:62" ht="12.75">
      <c r="A76" s="1" t="s">
        <v>54</v>
      </c>
      <c r="B76" s="1"/>
      <c r="C76" s="1" t="s">
        <v>143</v>
      </c>
      <c r="D76" s="1" t="s">
        <v>249</v>
      </c>
      <c r="E76" s="1" t="s">
        <v>291</v>
      </c>
      <c r="F76" s="3">
        <f>'Rozpočet - vybrané sloupce'!AR75</f>
        <v>16.412</v>
      </c>
      <c r="G76" s="3">
        <f>'Rozpočet - vybrané sloupce'!AW75</f>
        <v>0</v>
      </c>
      <c r="H76" s="3">
        <f>F76*AO76</f>
        <v>0</v>
      </c>
      <c r="I76" s="3">
        <f>F76*AP76</f>
        <v>0</v>
      </c>
      <c r="J76" s="3">
        <f>F76*G76</f>
        <v>0</v>
      </c>
      <c r="K76" s="3">
        <v>0.00592</v>
      </c>
      <c r="L76" s="3">
        <f>F76*K76</f>
        <v>0.09715903999999999</v>
      </c>
      <c r="M76" s="49" t="s">
        <v>369</v>
      </c>
      <c r="Z76" s="52">
        <f>IF(AQ76="5",BJ76,0)</f>
        <v>0</v>
      </c>
      <c r="AB76" s="52">
        <f>IF(AQ76="1",BH76,0)</f>
        <v>0</v>
      </c>
      <c r="AC76" s="52">
        <f>IF(AQ76="1",BI76,0)</f>
        <v>0</v>
      </c>
      <c r="AD76" s="52">
        <f>IF(AQ76="7",BH76,0)</f>
        <v>0</v>
      </c>
      <c r="AE76" s="52">
        <f>IF(AQ76="7",BI76,0)</f>
        <v>0</v>
      </c>
      <c r="AF76" s="52">
        <f>IF(AQ76="2",BH76,0)</f>
        <v>0</v>
      </c>
      <c r="AG76" s="52">
        <f>IF(AQ76="2",BI76,0)</f>
        <v>0</v>
      </c>
      <c r="AH76" s="52">
        <f>IF(AQ76="0",BJ76,0)</f>
        <v>0</v>
      </c>
      <c r="AI76" s="45"/>
      <c r="AJ76" s="3">
        <f>IF(AN76=0,J76,0)</f>
        <v>0</v>
      </c>
      <c r="AK76" s="3">
        <f>IF(AN76=15,J76,0)</f>
        <v>0</v>
      </c>
      <c r="AL76" s="3">
        <f>IF(AN76=21,J76,0)</f>
        <v>0</v>
      </c>
      <c r="AN76" s="52">
        <v>21</v>
      </c>
      <c r="AO76" s="52">
        <f>G76*0.422333333333333</f>
        <v>0</v>
      </c>
      <c r="AP76" s="52">
        <f>G76*(1-0.422333333333333)</f>
        <v>0</v>
      </c>
      <c r="AQ76" s="49" t="s">
        <v>7</v>
      </c>
      <c r="AV76" s="52">
        <f>AW76+AX76</f>
        <v>0</v>
      </c>
      <c r="AW76" s="52">
        <f>F76*AO76</f>
        <v>0</v>
      </c>
      <c r="AX76" s="52">
        <f>F76*AP76</f>
        <v>0</v>
      </c>
      <c r="AY76" s="53" t="s">
        <v>397</v>
      </c>
      <c r="AZ76" s="53" t="s">
        <v>418</v>
      </c>
      <c r="BA76" s="45" t="s">
        <v>420</v>
      </c>
      <c r="BC76" s="52">
        <f>AW76+AX76</f>
        <v>0</v>
      </c>
      <c r="BD76" s="52">
        <f>G76/(100-BE76)*100</f>
        <v>0</v>
      </c>
      <c r="BE76" s="52">
        <v>0</v>
      </c>
      <c r="BF76" s="52">
        <f>L76</f>
        <v>0.09715903999999999</v>
      </c>
      <c r="BH76" s="3">
        <f>F76*AO76</f>
        <v>0</v>
      </c>
      <c r="BI76" s="3">
        <f>F76*AP76</f>
        <v>0</v>
      </c>
      <c r="BJ76" s="3">
        <f>F76*G76</f>
        <v>0</v>
      </c>
    </row>
    <row r="77" spans="1:47" ht="12.75">
      <c r="A77" s="30"/>
      <c r="B77" s="36"/>
      <c r="C77" s="36" t="s">
        <v>144</v>
      </c>
      <c r="D77" s="36" t="s">
        <v>250</v>
      </c>
      <c r="E77" s="30" t="s">
        <v>6</v>
      </c>
      <c r="F77" s="30" t="s">
        <v>6</v>
      </c>
      <c r="G77" s="30" t="s">
        <v>6</v>
      </c>
      <c r="H77" s="6">
        <f>SUM(H78:H82)</f>
        <v>0</v>
      </c>
      <c r="I77" s="6">
        <f>SUM(I78:I82)</f>
        <v>0</v>
      </c>
      <c r="J77" s="6">
        <f>SUM(J78:J82)</f>
        <v>0</v>
      </c>
      <c r="K77" s="45"/>
      <c r="L77" s="6">
        <f>SUM(L78:L82)</f>
        <v>4.770112596000001</v>
      </c>
      <c r="M77" s="45"/>
      <c r="AI77" s="45"/>
      <c r="AS77" s="6">
        <f>SUM(AJ78:AJ82)</f>
        <v>0</v>
      </c>
      <c r="AT77" s="6">
        <f>SUM(AK78:AK82)</f>
        <v>0</v>
      </c>
      <c r="AU77" s="6">
        <f>SUM(AL78:AL82)</f>
        <v>0</v>
      </c>
    </row>
    <row r="78" spans="1:62" ht="12.75">
      <c r="A78" s="1" t="s">
        <v>55</v>
      </c>
      <c r="B78" s="1"/>
      <c r="C78" s="1" t="s">
        <v>145</v>
      </c>
      <c r="D78" s="1" t="s">
        <v>251</v>
      </c>
      <c r="E78" s="1" t="s">
        <v>290</v>
      </c>
      <c r="F78" s="3">
        <f>'Rozpočet - vybrané sloupce'!AR77</f>
        <v>4</v>
      </c>
      <c r="G78" s="3">
        <f>'Rozpočet - vybrané sloupce'!AW77</f>
        <v>0</v>
      </c>
      <c r="H78" s="3">
        <f>F78*AO78</f>
        <v>0</v>
      </c>
      <c r="I78" s="3">
        <f>F78*AP78</f>
        <v>0</v>
      </c>
      <c r="J78" s="3">
        <f>F78*G78</f>
        <v>0</v>
      </c>
      <c r="K78" s="3">
        <v>0</v>
      </c>
      <c r="L78" s="3">
        <f>F78*K78</f>
        <v>0</v>
      </c>
      <c r="M78" s="49" t="s">
        <v>369</v>
      </c>
      <c r="Z78" s="52">
        <f>IF(AQ78="5",BJ78,0)</f>
        <v>0</v>
      </c>
      <c r="AB78" s="52">
        <f>IF(AQ78="1",BH78,0)</f>
        <v>0</v>
      </c>
      <c r="AC78" s="52">
        <f>IF(AQ78="1",BI78,0)</f>
        <v>0</v>
      </c>
      <c r="AD78" s="52">
        <f>IF(AQ78="7",BH78,0)</f>
        <v>0</v>
      </c>
      <c r="AE78" s="52">
        <f>IF(AQ78="7",BI78,0)</f>
        <v>0</v>
      </c>
      <c r="AF78" s="52">
        <f>IF(AQ78="2",BH78,0)</f>
        <v>0</v>
      </c>
      <c r="AG78" s="52">
        <f>IF(AQ78="2",BI78,0)</f>
        <v>0</v>
      </c>
      <c r="AH78" s="52">
        <f>IF(AQ78="0",BJ78,0)</f>
        <v>0</v>
      </c>
      <c r="AI78" s="45"/>
      <c r="AJ78" s="3">
        <f>IF(AN78=0,J78,0)</f>
        <v>0</v>
      </c>
      <c r="AK78" s="3">
        <f>IF(AN78=15,J78,0)</f>
        <v>0</v>
      </c>
      <c r="AL78" s="3">
        <f>IF(AN78=21,J78,0)</f>
        <v>0</v>
      </c>
      <c r="AN78" s="52">
        <v>21</v>
      </c>
      <c r="AO78" s="52">
        <f>G78*0</f>
        <v>0</v>
      </c>
      <c r="AP78" s="52">
        <f>G78*(1-0)</f>
        <v>0</v>
      </c>
      <c r="AQ78" s="49" t="s">
        <v>7</v>
      </c>
      <c r="AV78" s="52">
        <f>AW78+AX78</f>
        <v>0</v>
      </c>
      <c r="AW78" s="52">
        <f>F78*AO78</f>
        <v>0</v>
      </c>
      <c r="AX78" s="52">
        <f>F78*AP78</f>
        <v>0</v>
      </c>
      <c r="AY78" s="53" t="s">
        <v>398</v>
      </c>
      <c r="AZ78" s="53" t="s">
        <v>418</v>
      </c>
      <c r="BA78" s="45" t="s">
        <v>420</v>
      </c>
      <c r="BC78" s="52">
        <f>AW78+AX78</f>
        <v>0</v>
      </c>
      <c r="BD78" s="52">
        <f>G78/(100-BE78)*100</f>
        <v>0</v>
      </c>
      <c r="BE78" s="52">
        <v>0</v>
      </c>
      <c r="BF78" s="52">
        <f>L78</f>
        <v>0</v>
      </c>
      <c r="BH78" s="3">
        <f>F78*AO78</f>
        <v>0</v>
      </c>
      <c r="BI78" s="3">
        <f>F78*AP78</f>
        <v>0</v>
      </c>
      <c r="BJ78" s="3">
        <f>F78*G78</f>
        <v>0</v>
      </c>
    </row>
    <row r="79" spans="1:62" ht="12.75">
      <c r="A79" s="1" t="s">
        <v>56</v>
      </c>
      <c r="B79" s="1"/>
      <c r="C79" s="1" t="s">
        <v>146</v>
      </c>
      <c r="D79" s="1" t="s">
        <v>252</v>
      </c>
      <c r="E79" s="1" t="s">
        <v>291</v>
      </c>
      <c r="F79" s="3">
        <f>'Rozpočet - vybrané sloupce'!AR78</f>
        <v>5.2</v>
      </c>
      <c r="G79" s="3">
        <f>'Rozpočet - vybrané sloupce'!AW78</f>
        <v>0</v>
      </c>
      <c r="H79" s="3">
        <f>F79*AO79</f>
        <v>0</v>
      </c>
      <c r="I79" s="3">
        <f>F79*AP79</f>
        <v>0</v>
      </c>
      <c r="J79" s="3">
        <f>F79*G79</f>
        <v>0</v>
      </c>
      <c r="K79" s="3">
        <v>0.07717</v>
      </c>
      <c r="L79" s="3">
        <f>F79*K79</f>
        <v>0.40128400000000003</v>
      </c>
      <c r="M79" s="49" t="s">
        <v>369</v>
      </c>
      <c r="Z79" s="52">
        <f>IF(AQ79="5",BJ79,0)</f>
        <v>0</v>
      </c>
      <c r="AB79" s="52">
        <f>IF(AQ79="1",BH79,0)</f>
        <v>0</v>
      </c>
      <c r="AC79" s="52">
        <f>IF(AQ79="1",BI79,0)</f>
        <v>0</v>
      </c>
      <c r="AD79" s="52">
        <f>IF(AQ79="7",BH79,0)</f>
        <v>0</v>
      </c>
      <c r="AE79" s="52">
        <f>IF(AQ79="7",BI79,0)</f>
        <v>0</v>
      </c>
      <c r="AF79" s="52">
        <f>IF(AQ79="2",BH79,0)</f>
        <v>0</v>
      </c>
      <c r="AG79" s="52">
        <f>IF(AQ79="2",BI79,0)</f>
        <v>0</v>
      </c>
      <c r="AH79" s="52">
        <f>IF(AQ79="0",BJ79,0)</f>
        <v>0</v>
      </c>
      <c r="AI79" s="45"/>
      <c r="AJ79" s="3">
        <f>IF(AN79=0,J79,0)</f>
        <v>0</v>
      </c>
      <c r="AK79" s="3">
        <f>IF(AN79=15,J79,0)</f>
        <v>0</v>
      </c>
      <c r="AL79" s="3">
        <f>IF(AN79=21,J79,0)</f>
        <v>0</v>
      </c>
      <c r="AN79" s="52">
        <v>21</v>
      </c>
      <c r="AO79" s="52">
        <f>G79*0.0755766621438263</f>
        <v>0</v>
      </c>
      <c r="AP79" s="52">
        <f>G79*(1-0.0755766621438263)</f>
        <v>0</v>
      </c>
      <c r="AQ79" s="49" t="s">
        <v>7</v>
      </c>
      <c r="AV79" s="52">
        <f>AW79+AX79</f>
        <v>0</v>
      </c>
      <c r="AW79" s="52">
        <f>F79*AO79</f>
        <v>0</v>
      </c>
      <c r="AX79" s="52">
        <f>F79*AP79</f>
        <v>0</v>
      </c>
      <c r="AY79" s="53" t="s">
        <v>398</v>
      </c>
      <c r="AZ79" s="53" t="s">
        <v>418</v>
      </c>
      <c r="BA79" s="45" t="s">
        <v>420</v>
      </c>
      <c r="BC79" s="52">
        <f>AW79+AX79</f>
        <v>0</v>
      </c>
      <c r="BD79" s="52">
        <f>G79/(100-BE79)*100</f>
        <v>0</v>
      </c>
      <c r="BE79" s="52">
        <v>0</v>
      </c>
      <c r="BF79" s="52">
        <f>L79</f>
        <v>0.40128400000000003</v>
      </c>
      <c r="BH79" s="3">
        <f>F79*AO79</f>
        <v>0</v>
      </c>
      <c r="BI79" s="3">
        <f>F79*AP79</f>
        <v>0</v>
      </c>
      <c r="BJ79" s="3">
        <f>F79*G79</f>
        <v>0</v>
      </c>
    </row>
    <row r="80" spans="1:62" ht="12.75">
      <c r="A80" s="1" t="s">
        <v>57</v>
      </c>
      <c r="B80" s="1"/>
      <c r="C80" s="1" t="s">
        <v>147</v>
      </c>
      <c r="D80" s="1" t="s">
        <v>253</v>
      </c>
      <c r="E80" s="1" t="s">
        <v>291</v>
      </c>
      <c r="F80" s="3">
        <f>'Rozpočet - vybrané sloupce'!AR79</f>
        <v>16.412</v>
      </c>
      <c r="G80" s="3">
        <f>'Rozpočet - vybrané sloupce'!AW79</f>
        <v>0</v>
      </c>
      <c r="H80" s="3">
        <f>F80*AO80</f>
        <v>0</v>
      </c>
      <c r="I80" s="3">
        <f>F80*AP80</f>
        <v>0</v>
      </c>
      <c r="J80" s="3">
        <f>F80*G80</f>
        <v>0</v>
      </c>
      <c r="K80" s="3">
        <v>0.02</v>
      </c>
      <c r="L80" s="3">
        <f>F80*K80</f>
        <v>0.32824</v>
      </c>
      <c r="M80" s="49" t="s">
        <v>369</v>
      </c>
      <c r="Z80" s="52">
        <f>IF(AQ80="5",BJ80,0)</f>
        <v>0</v>
      </c>
      <c r="AB80" s="52">
        <f>IF(AQ80="1",BH80,0)</f>
        <v>0</v>
      </c>
      <c r="AC80" s="52">
        <f>IF(AQ80="1",BI80,0)</f>
        <v>0</v>
      </c>
      <c r="AD80" s="52">
        <f>IF(AQ80="7",BH80,0)</f>
        <v>0</v>
      </c>
      <c r="AE80" s="52">
        <f>IF(AQ80="7",BI80,0)</f>
        <v>0</v>
      </c>
      <c r="AF80" s="52">
        <f>IF(AQ80="2",BH80,0)</f>
        <v>0</v>
      </c>
      <c r="AG80" s="52">
        <f>IF(AQ80="2",BI80,0)</f>
        <v>0</v>
      </c>
      <c r="AH80" s="52">
        <f>IF(AQ80="0",BJ80,0)</f>
        <v>0</v>
      </c>
      <c r="AI80" s="45"/>
      <c r="AJ80" s="3">
        <f>IF(AN80=0,J80,0)</f>
        <v>0</v>
      </c>
      <c r="AK80" s="3">
        <f>IF(AN80=15,J80,0)</f>
        <v>0</v>
      </c>
      <c r="AL80" s="3">
        <f>IF(AN80=21,J80,0)</f>
        <v>0</v>
      </c>
      <c r="AN80" s="52">
        <v>21</v>
      </c>
      <c r="AO80" s="52">
        <f>G80*0</f>
        <v>0</v>
      </c>
      <c r="AP80" s="52">
        <f>G80*(1-0)</f>
        <v>0</v>
      </c>
      <c r="AQ80" s="49" t="s">
        <v>7</v>
      </c>
      <c r="AV80" s="52">
        <f>AW80+AX80</f>
        <v>0</v>
      </c>
      <c r="AW80" s="52">
        <f>F80*AO80</f>
        <v>0</v>
      </c>
      <c r="AX80" s="52">
        <f>F80*AP80</f>
        <v>0</v>
      </c>
      <c r="AY80" s="53" t="s">
        <v>398</v>
      </c>
      <c r="AZ80" s="53" t="s">
        <v>418</v>
      </c>
      <c r="BA80" s="45" t="s">
        <v>420</v>
      </c>
      <c r="BC80" s="52">
        <f>AW80+AX80</f>
        <v>0</v>
      </c>
      <c r="BD80" s="52">
        <f>G80/(100-BE80)*100</f>
        <v>0</v>
      </c>
      <c r="BE80" s="52">
        <v>0</v>
      </c>
      <c r="BF80" s="52">
        <f>L80</f>
        <v>0.32824</v>
      </c>
      <c r="BH80" s="3">
        <f>F80*AO80</f>
        <v>0</v>
      </c>
      <c r="BI80" s="3">
        <f>F80*AP80</f>
        <v>0</v>
      </c>
      <c r="BJ80" s="3">
        <f>F80*G80</f>
        <v>0</v>
      </c>
    </row>
    <row r="81" spans="1:62" ht="12.75">
      <c r="A81" s="1" t="s">
        <v>58</v>
      </c>
      <c r="B81" s="1"/>
      <c r="C81" s="1" t="s">
        <v>148</v>
      </c>
      <c r="D81" s="1" t="s">
        <v>254</v>
      </c>
      <c r="E81" s="1" t="s">
        <v>295</v>
      </c>
      <c r="F81" s="3">
        <f>'Rozpočet - vybrané sloupce'!AR80</f>
        <v>1.51272</v>
      </c>
      <c r="G81" s="3">
        <f>'Rozpočet - vybrané sloupce'!AW80</f>
        <v>0</v>
      </c>
      <c r="H81" s="3">
        <f>F81*AO81</f>
        <v>0</v>
      </c>
      <c r="I81" s="3">
        <f>F81*AP81</f>
        <v>0</v>
      </c>
      <c r="J81" s="3">
        <f>F81*G81</f>
        <v>0</v>
      </c>
      <c r="K81" s="3">
        <v>2.2</v>
      </c>
      <c r="L81" s="3">
        <f>F81*K81</f>
        <v>3.3279840000000003</v>
      </c>
      <c r="M81" s="49" t="s">
        <v>369</v>
      </c>
      <c r="Z81" s="52">
        <f>IF(AQ81="5",BJ81,0)</f>
        <v>0</v>
      </c>
      <c r="AB81" s="52">
        <f>IF(AQ81="1",BH81,0)</f>
        <v>0</v>
      </c>
      <c r="AC81" s="52">
        <f>IF(AQ81="1",BI81,0)</f>
        <v>0</v>
      </c>
      <c r="AD81" s="52">
        <f>IF(AQ81="7",BH81,0)</f>
        <v>0</v>
      </c>
      <c r="AE81" s="52">
        <f>IF(AQ81="7",BI81,0)</f>
        <v>0</v>
      </c>
      <c r="AF81" s="52">
        <f>IF(AQ81="2",BH81,0)</f>
        <v>0</v>
      </c>
      <c r="AG81" s="52">
        <f>IF(AQ81="2",BI81,0)</f>
        <v>0</v>
      </c>
      <c r="AH81" s="52">
        <f>IF(AQ81="0",BJ81,0)</f>
        <v>0</v>
      </c>
      <c r="AI81" s="45"/>
      <c r="AJ81" s="3">
        <f>IF(AN81=0,J81,0)</f>
        <v>0</v>
      </c>
      <c r="AK81" s="3">
        <f>IF(AN81=15,J81,0)</f>
        <v>0</v>
      </c>
      <c r="AL81" s="3">
        <f>IF(AN81=21,J81,0)</f>
        <v>0</v>
      </c>
      <c r="AN81" s="52">
        <v>21</v>
      </c>
      <c r="AO81" s="52">
        <f>G81*0</f>
        <v>0</v>
      </c>
      <c r="AP81" s="52">
        <f>G81*(1-0)</f>
        <v>0</v>
      </c>
      <c r="AQ81" s="49" t="s">
        <v>7</v>
      </c>
      <c r="AV81" s="52">
        <f>AW81+AX81</f>
        <v>0</v>
      </c>
      <c r="AW81" s="52">
        <f>F81*AO81</f>
        <v>0</v>
      </c>
      <c r="AX81" s="52">
        <f>F81*AP81</f>
        <v>0</v>
      </c>
      <c r="AY81" s="53" t="s">
        <v>398</v>
      </c>
      <c r="AZ81" s="53" t="s">
        <v>418</v>
      </c>
      <c r="BA81" s="45" t="s">
        <v>420</v>
      </c>
      <c r="BC81" s="52">
        <f>AW81+AX81</f>
        <v>0</v>
      </c>
      <c r="BD81" s="52">
        <f>G81/(100-BE81)*100</f>
        <v>0</v>
      </c>
      <c r="BE81" s="52">
        <v>0</v>
      </c>
      <c r="BF81" s="52">
        <f>L81</f>
        <v>3.3279840000000003</v>
      </c>
      <c r="BH81" s="3">
        <f>F81*AO81</f>
        <v>0</v>
      </c>
      <c r="BI81" s="3">
        <f>F81*AP81</f>
        <v>0</v>
      </c>
      <c r="BJ81" s="3">
        <f>F81*G81</f>
        <v>0</v>
      </c>
    </row>
    <row r="82" spans="1:62" ht="12.75">
      <c r="A82" s="1" t="s">
        <v>59</v>
      </c>
      <c r="B82" s="1"/>
      <c r="C82" s="1" t="s">
        <v>149</v>
      </c>
      <c r="D82" s="1" t="s">
        <v>255</v>
      </c>
      <c r="E82" s="1" t="s">
        <v>291</v>
      </c>
      <c r="F82" s="3">
        <f>'Rozpočet - vybrané sloupce'!AR81</f>
        <v>3.8588</v>
      </c>
      <c r="G82" s="3">
        <f>'Rozpočet - vybrané sloupce'!AW81</f>
        <v>0</v>
      </c>
      <c r="H82" s="3">
        <f>F82*AO82</f>
        <v>0</v>
      </c>
      <c r="I82" s="3">
        <f>F82*AP82</f>
        <v>0</v>
      </c>
      <c r="J82" s="3">
        <f>F82*G82</f>
        <v>0</v>
      </c>
      <c r="K82" s="3">
        <v>0.18467</v>
      </c>
      <c r="L82" s="3">
        <f>F82*K82</f>
        <v>0.712604596</v>
      </c>
      <c r="M82" s="49" t="s">
        <v>369</v>
      </c>
      <c r="Z82" s="52">
        <f>IF(AQ82="5",BJ82,0)</f>
        <v>0</v>
      </c>
      <c r="AB82" s="52">
        <f>IF(AQ82="1",BH82,0)</f>
        <v>0</v>
      </c>
      <c r="AC82" s="52">
        <f>IF(AQ82="1",BI82,0)</f>
        <v>0</v>
      </c>
      <c r="AD82" s="52">
        <f>IF(AQ82="7",BH82,0)</f>
        <v>0</v>
      </c>
      <c r="AE82" s="52">
        <f>IF(AQ82="7",BI82,0)</f>
        <v>0</v>
      </c>
      <c r="AF82" s="52">
        <f>IF(AQ82="2",BH82,0)</f>
        <v>0</v>
      </c>
      <c r="AG82" s="52">
        <f>IF(AQ82="2",BI82,0)</f>
        <v>0</v>
      </c>
      <c r="AH82" s="52">
        <f>IF(AQ82="0",BJ82,0)</f>
        <v>0</v>
      </c>
      <c r="AI82" s="45"/>
      <c r="AJ82" s="3">
        <f>IF(AN82=0,J82,0)</f>
        <v>0</v>
      </c>
      <c r="AK82" s="3">
        <f>IF(AN82=15,J82,0)</f>
        <v>0</v>
      </c>
      <c r="AL82" s="3">
        <f>IF(AN82=21,J82,0)</f>
        <v>0</v>
      </c>
      <c r="AN82" s="52">
        <v>21</v>
      </c>
      <c r="AO82" s="52">
        <f>G82*0.133670242963676</f>
        <v>0</v>
      </c>
      <c r="AP82" s="52">
        <f>G82*(1-0.133670242963676)</f>
        <v>0</v>
      </c>
      <c r="AQ82" s="49" t="s">
        <v>7</v>
      </c>
      <c r="AV82" s="52">
        <f>AW82+AX82</f>
        <v>0</v>
      </c>
      <c r="AW82" s="52">
        <f>F82*AO82</f>
        <v>0</v>
      </c>
      <c r="AX82" s="52">
        <f>F82*AP82</f>
        <v>0</v>
      </c>
      <c r="AY82" s="53" t="s">
        <v>398</v>
      </c>
      <c r="AZ82" s="53" t="s">
        <v>418</v>
      </c>
      <c r="BA82" s="45" t="s">
        <v>420</v>
      </c>
      <c r="BC82" s="52">
        <f>AW82+AX82</f>
        <v>0</v>
      </c>
      <c r="BD82" s="52">
        <f>G82/(100-BE82)*100</f>
        <v>0</v>
      </c>
      <c r="BE82" s="52">
        <v>0</v>
      </c>
      <c r="BF82" s="52">
        <f>L82</f>
        <v>0.712604596</v>
      </c>
      <c r="BH82" s="3">
        <f>F82*AO82</f>
        <v>0</v>
      </c>
      <c r="BI82" s="3">
        <f>F82*AP82</f>
        <v>0</v>
      </c>
      <c r="BJ82" s="3">
        <f>F82*G82</f>
        <v>0</v>
      </c>
    </row>
    <row r="83" spans="1:47" ht="12.75">
      <c r="A83" s="30"/>
      <c r="B83" s="36"/>
      <c r="C83" s="36" t="s">
        <v>150</v>
      </c>
      <c r="D83" s="36" t="s">
        <v>256</v>
      </c>
      <c r="E83" s="30" t="s">
        <v>6</v>
      </c>
      <c r="F83" s="30" t="s">
        <v>6</v>
      </c>
      <c r="G83" s="30" t="s">
        <v>6</v>
      </c>
      <c r="H83" s="6">
        <f>SUM(H84:H85)</f>
        <v>0</v>
      </c>
      <c r="I83" s="6">
        <f>SUM(I84:I85)</f>
        <v>0</v>
      </c>
      <c r="J83" s="6">
        <f>SUM(J84:J85)</f>
        <v>0</v>
      </c>
      <c r="K83" s="45"/>
      <c r="L83" s="6">
        <f>SUM(L84:L85)</f>
        <v>2.646812</v>
      </c>
      <c r="M83" s="45"/>
      <c r="AI83" s="45"/>
      <c r="AS83" s="6">
        <f>SUM(AJ84:AJ85)</f>
        <v>0</v>
      </c>
      <c r="AT83" s="6">
        <f>SUM(AK84:AK85)</f>
        <v>0</v>
      </c>
      <c r="AU83" s="6">
        <f>SUM(AL84:AL85)</f>
        <v>0</v>
      </c>
    </row>
    <row r="84" spans="1:62" ht="12.75">
      <c r="A84" s="1" t="s">
        <v>60</v>
      </c>
      <c r="B84" s="1"/>
      <c r="C84" s="1" t="s">
        <v>151</v>
      </c>
      <c r="D84" s="1" t="s">
        <v>257</v>
      </c>
      <c r="E84" s="1" t="s">
        <v>291</v>
      </c>
      <c r="F84" s="3">
        <f>'Rozpočet - vybrané sloupce'!AR83</f>
        <v>36.824</v>
      </c>
      <c r="G84" s="3">
        <f>'Rozpočet - vybrané sloupce'!AW83</f>
        <v>0</v>
      </c>
      <c r="H84" s="3">
        <f>F84*AO84</f>
        <v>0</v>
      </c>
      <c r="I84" s="3">
        <f>F84*AP84</f>
        <v>0</v>
      </c>
      <c r="J84" s="3">
        <f>F84*G84</f>
        <v>0</v>
      </c>
      <c r="K84" s="3">
        <v>0.068</v>
      </c>
      <c r="L84" s="3">
        <f>F84*K84</f>
        <v>2.504032</v>
      </c>
      <c r="M84" s="49" t="s">
        <v>369</v>
      </c>
      <c r="Z84" s="52">
        <f>IF(AQ84="5",BJ84,0)</f>
        <v>0</v>
      </c>
      <c r="AB84" s="52">
        <f>IF(AQ84="1",BH84,0)</f>
        <v>0</v>
      </c>
      <c r="AC84" s="52">
        <f>IF(AQ84="1",BI84,0)</f>
        <v>0</v>
      </c>
      <c r="AD84" s="52">
        <f>IF(AQ84="7",BH84,0)</f>
        <v>0</v>
      </c>
      <c r="AE84" s="52">
        <f>IF(AQ84="7",BI84,0)</f>
        <v>0</v>
      </c>
      <c r="AF84" s="52">
        <f>IF(AQ84="2",BH84,0)</f>
        <v>0</v>
      </c>
      <c r="AG84" s="52">
        <f>IF(AQ84="2",BI84,0)</f>
        <v>0</v>
      </c>
      <c r="AH84" s="52">
        <f>IF(AQ84="0",BJ84,0)</f>
        <v>0</v>
      </c>
      <c r="AI84" s="45"/>
      <c r="AJ84" s="3">
        <f>IF(AN84=0,J84,0)</f>
        <v>0</v>
      </c>
      <c r="AK84" s="3">
        <f>IF(AN84=15,J84,0)</f>
        <v>0</v>
      </c>
      <c r="AL84" s="3">
        <f>IF(AN84=21,J84,0)</f>
        <v>0</v>
      </c>
      <c r="AN84" s="52">
        <v>21</v>
      </c>
      <c r="AO84" s="52">
        <f>G84*0</f>
        <v>0</v>
      </c>
      <c r="AP84" s="52">
        <f>G84*(1-0)</f>
        <v>0</v>
      </c>
      <c r="AQ84" s="49" t="s">
        <v>7</v>
      </c>
      <c r="AV84" s="52">
        <f>AW84+AX84</f>
        <v>0</v>
      </c>
      <c r="AW84" s="52">
        <f>F84*AO84</f>
        <v>0</v>
      </c>
      <c r="AX84" s="52">
        <f>F84*AP84</f>
        <v>0</v>
      </c>
      <c r="AY84" s="53" t="s">
        <v>399</v>
      </c>
      <c r="AZ84" s="53" t="s">
        <v>418</v>
      </c>
      <c r="BA84" s="45" t="s">
        <v>420</v>
      </c>
      <c r="BC84" s="52">
        <f>AW84+AX84</f>
        <v>0</v>
      </c>
      <c r="BD84" s="52">
        <f>G84/(100-BE84)*100</f>
        <v>0</v>
      </c>
      <c r="BE84" s="52">
        <v>0</v>
      </c>
      <c r="BF84" s="52">
        <f>L84</f>
        <v>2.504032</v>
      </c>
      <c r="BH84" s="3">
        <f>F84*AO84</f>
        <v>0</v>
      </c>
      <c r="BI84" s="3">
        <f>F84*AP84</f>
        <v>0</v>
      </c>
      <c r="BJ84" s="3">
        <f>F84*G84</f>
        <v>0</v>
      </c>
    </row>
    <row r="85" spans="1:62" ht="12.75">
      <c r="A85" s="1" t="s">
        <v>61</v>
      </c>
      <c r="B85" s="1"/>
      <c r="C85" s="1" t="s">
        <v>152</v>
      </c>
      <c r="D85" s="1" t="s">
        <v>258</v>
      </c>
      <c r="E85" s="1" t="s">
        <v>292</v>
      </c>
      <c r="F85" s="3">
        <f>'Rozpočet - vybrané sloupce'!AR84</f>
        <v>22</v>
      </c>
      <c r="G85" s="3">
        <f>'Rozpočet - vybrané sloupce'!AW84</f>
        <v>0</v>
      </c>
      <c r="H85" s="3">
        <f>F85*AO85</f>
        <v>0</v>
      </c>
      <c r="I85" s="3">
        <f>F85*AP85</f>
        <v>0</v>
      </c>
      <c r="J85" s="3">
        <f>F85*G85</f>
        <v>0</v>
      </c>
      <c r="K85" s="3">
        <v>0.00649</v>
      </c>
      <c r="L85" s="3">
        <f>F85*K85</f>
        <v>0.14278</v>
      </c>
      <c r="M85" s="49" t="s">
        <v>369</v>
      </c>
      <c r="Z85" s="52">
        <f>IF(AQ85="5",BJ85,0)</f>
        <v>0</v>
      </c>
      <c r="AB85" s="52">
        <f>IF(AQ85="1",BH85,0)</f>
        <v>0</v>
      </c>
      <c r="AC85" s="52">
        <f>IF(AQ85="1",BI85,0)</f>
        <v>0</v>
      </c>
      <c r="AD85" s="52">
        <f>IF(AQ85="7",BH85,0)</f>
        <v>0</v>
      </c>
      <c r="AE85" s="52">
        <f>IF(AQ85="7",BI85,0)</f>
        <v>0</v>
      </c>
      <c r="AF85" s="52">
        <f>IF(AQ85="2",BH85,0)</f>
        <v>0</v>
      </c>
      <c r="AG85" s="52">
        <f>IF(AQ85="2",BI85,0)</f>
        <v>0</v>
      </c>
      <c r="AH85" s="52">
        <f>IF(AQ85="0",BJ85,0)</f>
        <v>0</v>
      </c>
      <c r="AI85" s="45"/>
      <c r="AJ85" s="3">
        <f>IF(AN85=0,J85,0)</f>
        <v>0</v>
      </c>
      <c r="AK85" s="3">
        <f>IF(AN85=15,J85,0)</f>
        <v>0</v>
      </c>
      <c r="AL85" s="3">
        <f>IF(AN85=21,J85,0)</f>
        <v>0</v>
      </c>
      <c r="AN85" s="52">
        <v>21</v>
      </c>
      <c r="AO85" s="52">
        <f>G85*0.1125</f>
        <v>0</v>
      </c>
      <c r="AP85" s="52">
        <f>G85*(1-0.1125)</f>
        <v>0</v>
      </c>
      <c r="AQ85" s="49" t="s">
        <v>7</v>
      </c>
      <c r="AV85" s="52">
        <f>AW85+AX85</f>
        <v>0</v>
      </c>
      <c r="AW85" s="52">
        <f>F85*AO85</f>
        <v>0</v>
      </c>
      <c r="AX85" s="52">
        <f>F85*AP85</f>
        <v>0</v>
      </c>
      <c r="AY85" s="53" t="s">
        <v>399</v>
      </c>
      <c r="AZ85" s="53" t="s">
        <v>418</v>
      </c>
      <c r="BA85" s="45" t="s">
        <v>420</v>
      </c>
      <c r="BC85" s="52">
        <f>AW85+AX85</f>
        <v>0</v>
      </c>
      <c r="BD85" s="52">
        <f>G85/(100-BE85)*100</f>
        <v>0</v>
      </c>
      <c r="BE85" s="52">
        <v>0</v>
      </c>
      <c r="BF85" s="52">
        <f>L85</f>
        <v>0.14278</v>
      </c>
      <c r="BH85" s="3">
        <f>F85*AO85</f>
        <v>0</v>
      </c>
      <c r="BI85" s="3">
        <f>F85*AP85</f>
        <v>0</v>
      </c>
      <c r="BJ85" s="3">
        <f>F85*G85</f>
        <v>0</v>
      </c>
    </row>
    <row r="86" spans="1:47" ht="12.75">
      <c r="A86" s="30"/>
      <c r="B86" s="36"/>
      <c r="C86" s="36" t="s">
        <v>153</v>
      </c>
      <c r="D86" s="36" t="s">
        <v>205</v>
      </c>
      <c r="E86" s="30" t="s">
        <v>6</v>
      </c>
      <c r="F86" s="30" t="s">
        <v>6</v>
      </c>
      <c r="G86" s="30" t="s">
        <v>6</v>
      </c>
      <c r="H86" s="6">
        <f>SUM(H87:H87)</f>
        <v>0</v>
      </c>
      <c r="I86" s="6">
        <f>SUM(I87:I87)</f>
        <v>0</v>
      </c>
      <c r="J86" s="6">
        <f>SUM(J87:J87)</f>
        <v>0</v>
      </c>
      <c r="K86" s="45"/>
      <c r="L86" s="6">
        <f>SUM(L87:L87)</f>
        <v>0</v>
      </c>
      <c r="M86" s="45"/>
      <c r="AI86" s="45"/>
      <c r="AS86" s="6">
        <f>SUM(AJ87:AJ87)</f>
        <v>0</v>
      </c>
      <c r="AT86" s="6">
        <f>SUM(AK87:AK87)</f>
        <v>0</v>
      </c>
      <c r="AU86" s="6">
        <f>SUM(AL87:AL87)</f>
        <v>0</v>
      </c>
    </row>
    <row r="87" spans="1:62" ht="12.75">
      <c r="A87" s="1" t="s">
        <v>62</v>
      </c>
      <c r="B87" s="1"/>
      <c r="C87" s="1" t="s">
        <v>154</v>
      </c>
      <c r="D87" s="1" t="s">
        <v>259</v>
      </c>
      <c r="E87" s="1" t="s">
        <v>296</v>
      </c>
      <c r="F87" s="3">
        <f>'Rozpočet - vybrané sloupce'!AR86</f>
        <v>0.60209</v>
      </c>
      <c r="G87" s="3">
        <f>'Rozpočet - vybrané sloupce'!AW86</f>
        <v>0</v>
      </c>
      <c r="H87" s="3">
        <f>F87*AO87</f>
        <v>0</v>
      </c>
      <c r="I87" s="3">
        <f>F87*AP87</f>
        <v>0</v>
      </c>
      <c r="J87" s="3">
        <f>F87*G87</f>
        <v>0</v>
      </c>
      <c r="K87" s="3">
        <v>0</v>
      </c>
      <c r="L87" s="3">
        <f>F87*K87</f>
        <v>0</v>
      </c>
      <c r="M87" s="49" t="s">
        <v>369</v>
      </c>
      <c r="Z87" s="52">
        <f>IF(AQ87="5",BJ87,0)</f>
        <v>0</v>
      </c>
      <c r="AB87" s="52">
        <f>IF(AQ87="1",BH87,0)</f>
        <v>0</v>
      </c>
      <c r="AC87" s="52">
        <f>IF(AQ87="1",BI87,0)</f>
        <v>0</v>
      </c>
      <c r="AD87" s="52">
        <f>IF(AQ87="7",BH87,0)</f>
        <v>0</v>
      </c>
      <c r="AE87" s="52">
        <f>IF(AQ87="7",BI87,0)</f>
        <v>0</v>
      </c>
      <c r="AF87" s="52">
        <f>IF(AQ87="2",BH87,0)</f>
        <v>0</v>
      </c>
      <c r="AG87" s="52">
        <f>IF(AQ87="2",BI87,0)</f>
        <v>0</v>
      </c>
      <c r="AH87" s="52">
        <f>IF(AQ87="0",BJ87,0)</f>
        <v>0</v>
      </c>
      <c r="AI87" s="45"/>
      <c r="AJ87" s="3">
        <f>IF(AN87=0,J87,0)</f>
        <v>0</v>
      </c>
      <c r="AK87" s="3">
        <f>IF(AN87=15,J87,0)</f>
        <v>0</v>
      </c>
      <c r="AL87" s="3">
        <f>IF(AN87=21,J87,0)</f>
        <v>0</v>
      </c>
      <c r="AN87" s="52">
        <v>21</v>
      </c>
      <c r="AO87" s="52">
        <f>G87*0</f>
        <v>0</v>
      </c>
      <c r="AP87" s="52">
        <f>G87*(1-0)</f>
        <v>0</v>
      </c>
      <c r="AQ87" s="49" t="s">
        <v>11</v>
      </c>
      <c r="AV87" s="52">
        <f>AW87+AX87</f>
        <v>0</v>
      </c>
      <c r="AW87" s="52">
        <f>F87*AO87</f>
        <v>0</v>
      </c>
      <c r="AX87" s="52">
        <f>F87*AP87</f>
        <v>0</v>
      </c>
      <c r="AY87" s="53" t="s">
        <v>400</v>
      </c>
      <c r="AZ87" s="53" t="s">
        <v>418</v>
      </c>
      <c r="BA87" s="45" t="s">
        <v>420</v>
      </c>
      <c r="BC87" s="52">
        <f>AW87+AX87</f>
        <v>0</v>
      </c>
      <c r="BD87" s="52">
        <f>G87/(100-BE87)*100</f>
        <v>0</v>
      </c>
      <c r="BE87" s="52">
        <v>0</v>
      </c>
      <c r="BF87" s="52">
        <f>L87</f>
        <v>0</v>
      </c>
      <c r="BH87" s="3">
        <f>F87*AO87</f>
        <v>0</v>
      </c>
      <c r="BI87" s="3">
        <f>F87*AP87</f>
        <v>0</v>
      </c>
      <c r="BJ87" s="3">
        <f>F87*G87</f>
        <v>0</v>
      </c>
    </row>
    <row r="88" spans="1:47" ht="12.75">
      <c r="A88" s="30"/>
      <c r="B88" s="36"/>
      <c r="C88" s="36" t="s">
        <v>155</v>
      </c>
      <c r="D88" s="36" t="s">
        <v>213</v>
      </c>
      <c r="E88" s="30" t="s">
        <v>6</v>
      </c>
      <c r="F88" s="30" t="s">
        <v>6</v>
      </c>
      <c r="G88" s="30" t="s">
        <v>6</v>
      </c>
      <c r="H88" s="6">
        <f>SUM(H89:H89)</f>
        <v>0</v>
      </c>
      <c r="I88" s="6">
        <f>SUM(I89:I89)</f>
        <v>0</v>
      </c>
      <c r="J88" s="6">
        <f>SUM(J89:J89)</f>
        <v>0</v>
      </c>
      <c r="K88" s="45"/>
      <c r="L88" s="6">
        <f>SUM(L89:L89)</f>
        <v>0</v>
      </c>
      <c r="M88" s="45"/>
      <c r="AI88" s="45"/>
      <c r="AS88" s="6">
        <f>SUM(AJ89:AJ89)</f>
        <v>0</v>
      </c>
      <c r="AT88" s="6">
        <f>SUM(AK89:AK89)</f>
        <v>0</v>
      </c>
      <c r="AU88" s="6">
        <f>SUM(AL89:AL89)</f>
        <v>0</v>
      </c>
    </row>
    <row r="89" spans="1:62" ht="12.75">
      <c r="A89" s="1" t="s">
        <v>63</v>
      </c>
      <c r="B89" s="1"/>
      <c r="C89" s="1" t="s">
        <v>156</v>
      </c>
      <c r="D89" s="1" t="s">
        <v>260</v>
      </c>
      <c r="E89" s="1" t="s">
        <v>296</v>
      </c>
      <c r="F89" s="3">
        <f>'Rozpočet - vybrané sloupce'!AR88</f>
        <v>0.52467</v>
      </c>
      <c r="G89" s="3">
        <f>'Rozpočet - vybrané sloupce'!AW88</f>
        <v>0</v>
      </c>
      <c r="H89" s="3">
        <f>F89*AO89</f>
        <v>0</v>
      </c>
      <c r="I89" s="3">
        <f>F89*AP89</f>
        <v>0</v>
      </c>
      <c r="J89" s="3">
        <f>F89*G89</f>
        <v>0</v>
      </c>
      <c r="K89" s="3">
        <v>0</v>
      </c>
      <c r="L89" s="3">
        <f>F89*K89</f>
        <v>0</v>
      </c>
      <c r="M89" s="49" t="s">
        <v>369</v>
      </c>
      <c r="Z89" s="52">
        <f>IF(AQ89="5",BJ89,0)</f>
        <v>0</v>
      </c>
      <c r="AB89" s="52">
        <f>IF(AQ89="1",BH89,0)</f>
        <v>0</v>
      </c>
      <c r="AC89" s="52">
        <f>IF(AQ89="1",BI89,0)</f>
        <v>0</v>
      </c>
      <c r="AD89" s="52">
        <f>IF(AQ89="7",BH89,0)</f>
        <v>0</v>
      </c>
      <c r="AE89" s="52">
        <f>IF(AQ89="7",BI89,0)</f>
        <v>0</v>
      </c>
      <c r="AF89" s="52">
        <f>IF(AQ89="2",BH89,0)</f>
        <v>0</v>
      </c>
      <c r="AG89" s="52">
        <f>IF(AQ89="2",BI89,0)</f>
        <v>0</v>
      </c>
      <c r="AH89" s="52">
        <f>IF(AQ89="0",BJ89,0)</f>
        <v>0</v>
      </c>
      <c r="AI89" s="45"/>
      <c r="AJ89" s="3">
        <f>IF(AN89=0,J89,0)</f>
        <v>0</v>
      </c>
      <c r="AK89" s="3">
        <f>IF(AN89=15,J89,0)</f>
        <v>0</v>
      </c>
      <c r="AL89" s="3">
        <f>IF(AN89=21,J89,0)</f>
        <v>0</v>
      </c>
      <c r="AN89" s="52">
        <v>21</v>
      </c>
      <c r="AO89" s="52">
        <f>G89*0</f>
        <v>0</v>
      </c>
      <c r="AP89" s="52">
        <f>G89*(1-0)</f>
        <v>0</v>
      </c>
      <c r="AQ89" s="49" t="s">
        <v>11</v>
      </c>
      <c r="AV89" s="52">
        <f>AW89+AX89</f>
        <v>0</v>
      </c>
      <c r="AW89" s="52">
        <f>F89*AO89</f>
        <v>0</v>
      </c>
      <c r="AX89" s="52">
        <f>F89*AP89</f>
        <v>0</v>
      </c>
      <c r="AY89" s="53" t="s">
        <v>401</v>
      </c>
      <c r="AZ89" s="53" t="s">
        <v>418</v>
      </c>
      <c r="BA89" s="45" t="s">
        <v>420</v>
      </c>
      <c r="BC89" s="52">
        <f>AW89+AX89</f>
        <v>0</v>
      </c>
      <c r="BD89" s="52">
        <f>G89/(100-BE89)*100</f>
        <v>0</v>
      </c>
      <c r="BE89" s="52">
        <v>0</v>
      </c>
      <c r="BF89" s="52">
        <f>L89</f>
        <v>0</v>
      </c>
      <c r="BH89" s="3">
        <f>F89*AO89</f>
        <v>0</v>
      </c>
      <c r="BI89" s="3">
        <f>F89*AP89</f>
        <v>0</v>
      </c>
      <c r="BJ89" s="3">
        <f>F89*G89</f>
        <v>0</v>
      </c>
    </row>
    <row r="90" spans="1:47" ht="12.75">
      <c r="A90" s="30"/>
      <c r="B90" s="36"/>
      <c r="C90" s="36" t="s">
        <v>157</v>
      </c>
      <c r="D90" s="36" t="s">
        <v>223</v>
      </c>
      <c r="E90" s="30" t="s">
        <v>6</v>
      </c>
      <c r="F90" s="30" t="s">
        <v>6</v>
      </c>
      <c r="G90" s="30" t="s">
        <v>6</v>
      </c>
      <c r="H90" s="6">
        <f>SUM(H91:H91)</f>
        <v>0</v>
      </c>
      <c r="I90" s="6">
        <f>SUM(I91:I91)</f>
        <v>0</v>
      </c>
      <c r="J90" s="6">
        <f>SUM(J91:J91)</f>
        <v>0</v>
      </c>
      <c r="K90" s="45"/>
      <c r="L90" s="6">
        <f>SUM(L91:L91)</f>
        <v>0</v>
      </c>
      <c r="M90" s="45"/>
      <c r="AI90" s="45"/>
      <c r="AS90" s="6">
        <f>SUM(AJ91:AJ91)</f>
        <v>0</v>
      </c>
      <c r="AT90" s="6">
        <f>SUM(AK91:AK91)</f>
        <v>0</v>
      </c>
      <c r="AU90" s="6">
        <f>SUM(AL91:AL91)</f>
        <v>0</v>
      </c>
    </row>
    <row r="91" spans="1:62" ht="12.75">
      <c r="A91" s="1" t="s">
        <v>64</v>
      </c>
      <c r="B91" s="1"/>
      <c r="C91" s="1" t="s">
        <v>158</v>
      </c>
      <c r="D91" s="1" t="s">
        <v>261</v>
      </c>
      <c r="E91" s="1" t="s">
        <v>296</v>
      </c>
      <c r="F91" s="3">
        <f>'Rozpočet - vybrané sloupce'!AR90</f>
        <v>0.07652</v>
      </c>
      <c r="G91" s="3">
        <f>'Rozpočet - vybrané sloupce'!AW90</f>
        <v>0</v>
      </c>
      <c r="H91" s="3">
        <f>F91*AO91</f>
        <v>0</v>
      </c>
      <c r="I91" s="3">
        <f>F91*AP91</f>
        <v>0</v>
      </c>
      <c r="J91" s="3">
        <f>F91*G91</f>
        <v>0</v>
      </c>
      <c r="K91" s="3">
        <v>0</v>
      </c>
      <c r="L91" s="3">
        <f>F91*K91</f>
        <v>0</v>
      </c>
      <c r="M91" s="49" t="s">
        <v>369</v>
      </c>
      <c r="Z91" s="52">
        <f>IF(AQ91="5",BJ91,0)</f>
        <v>0</v>
      </c>
      <c r="AB91" s="52">
        <f>IF(AQ91="1",BH91,0)</f>
        <v>0</v>
      </c>
      <c r="AC91" s="52">
        <f>IF(AQ91="1",BI91,0)</f>
        <v>0</v>
      </c>
      <c r="AD91" s="52">
        <f>IF(AQ91="7",BH91,0)</f>
        <v>0</v>
      </c>
      <c r="AE91" s="52">
        <f>IF(AQ91="7",BI91,0)</f>
        <v>0</v>
      </c>
      <c r="AF91" s="52">
        <f>IF(AQ91="2",BH91,0)</f>
        <v>0</v>
      </c>
      <c r="AG91" s="52">
        <f>IF(AQ91="2",BI91,0)</f>
        <v>0</v>
      </c>
      <c r="AH91" s="52">
        <f>IF(AQ91="0",BJ91,0)</f>
        <v>0</v>
      </c>
      <c r="AI91" s="45"/>
      <c r="AJ91" s="3">
        <f>IF(AN91=0,J91,0)</f>
        <v>0</v>
      </c>
      <c r="AK91" s="3">
        <f>IF(AN91=15,J91,0)</f>
        <v>0</v>
      </c>
      <c r="AL91" s="3">
        <f>IF(AN91=21,J91,0)</f>
        <v>0</v>
      </c>
      <c r="AN91" s="52">
        <v>21</v>
      </c>
      <c r="AO91" s="52">
        <f>G91*0</f>
        <v>0</v>
      </c>
      <c r="AP91" s="52">
        <f>G91*(1-0)</f>
        <v>0</v>
      </c>
      <c r="AQ91" s="49" t="s">
        <v>11</v>
      </c>
      <c r="AV91" s="52">
        <f>AW91+AX91</f>
        <v>0</v>
      </c>
      <c r="AW91" s="52">
        <f>F91*AO91</f>
        <v>0</v>
      </c>
      <c r="AX91" s="52">
        <f>F91*AP91</f>
        <v>0</v>
      </c>
      <c r="AY91" s="53" t="s">
        <v>402</v>
      </c>
      <c r="AZ91" s="53" t="s">
        <v>418</v>
      </c>
      <c r="BA91" s="45" t="s">
        <v>420</v>
      </c>
      <c r="BC91" s="52">
        <f>AW91+AX91</f>
        <v>0</v>
      </c>
      <c r="BD91" s="52">
        <f>G91/(100-BE91)*100</f>
        <v>0</v>
      </c>
      <c r="BE91" s="52">
        <v>0</v>
      </c>
      <c r="BF91" s="52">
        <f>L91</f>
        <v>0</v>
      </c>
      <c r="BH91" s="3">
        <f>F91*AO91</f>
        <v>0</v>
      </c>
      <c r="BI91" s="3">
        <f>F91*AP91</f>
        <v>0</v>
      </c>
      <c r="BJ91" s="3">
        <f>F91*G91</f>
        <v>0</v>
      </c>
    </row>
    <row r="92" spans="1:47" ht="12.75">
      <c r="A92" s="30"/>
      <c r="B92" s="36"/>
      <c r="C92" s="36" t="s">
        <v>159</v>
      </c>
      <c r="D92" s="36" t="s">
        <v>228</v>
      </c>
      <c r="E92" s="30" t="s">
        <v>6</v>
      </c>
      <c r="F92" s="30" t="s">
        <v>6</v>
      </c>
      <c r="G92" s="30" t="s">
        <v>6</v>
      </c>
      <c r="H92" s="6">
        <f>SUM(H93:H93)</f>
        <v>0</v>
      </c>
      <c r="I92" s="6">
        <f>SUM(I93:I93)</f>
        <v>0</v>
      </c>
      <c r="J92" s="6">
        <f>SUM(J93:J93)</f>
        <v>0</v>
      </c>
      <c r="K92" s="45"/>
      <c r="L92" s="6">
        <f>SUM(L93:L93)</f>
        <v>0</v>
      </c>
      <c r="M92" s="45"/>
      <c r="AI92" s="45"/>
      <c r="AS92" s="6">
        <f>SUM(AJ93:AJ93)</f>
        <v>0</v>
      </c>
      <c r="AT92" s="6">
        <f>SUM(AK93:AK93)</f>
        <v>0</v>
      </c>
      <c r="AU92" s="6">
        <f>SUM(AL93:AL93)</f>
        <v>0</v>
      </c>
    </row>
    <row r="93" spans="1:62" ht="12.75">
      <c r="A93" s="1" t="s">
        <v>65</v>
      </c>
      <c r="B93" s="1"/>
      <c r="C93" s="1" t="s">
        <v>160</v>
      </c>
      <c r="D93" s="1" t="s">
        <v>262</v>
      </c>
      <c r="E93" s="1" t="s">
        <v>296</v>
      </c>
      <c r="F93" s="3">
        <f>'Rozpočet - vybrané sloupce'!AR92</f>
        <v>0.082</v>
      </c>
      <c r="G93" s="3">
        <f>'Rozpočet - vybrané sloupce'!AW92</f>
        <v>0</v>
      </c>
      <c r="H93" s="3">
        <f>F93*AO93</f>
        <v>0</v>
      </c>
      <c r="I93" s="3">
        <f>F93*AP93</f>
        <v>0</v>
      </c>
      <c r="J93" s="3">
        <f>F93*G93</f>
        <v>0</v>
      </c>
      <c r="K93" s="3">
        <v>0</v>
      </c>
      <c r="L93" s="3">
        <f>F93*K93</f>
        <v>0</v>
      </c>
      <c r="M93" s="49" t="s">
        <v>369</v>
      </c>
      <c r="Z93" s="52">
        <f>IF(AQ93="5",BJ93,0)</f>
        <v>0</v>
      </c>
      <c r="AB93" s="52">
        <f>IF(AQ93="1",BH93,0)</f>
        <v>0</v>
      </c>
      <c r="AC93" s="52">
        <f>IF(AQ93="1",BI93,0)</f>
        <v>0</v>
      </c>
      <c r="AD93" s="52">
        <f>IF(AQ93="7",BH93,0)</f>
        <v>0</v>
      </c>
      <c r="AE93" s="52">
        <f>IF(AQ93="7",BI93,0)</f>
        <v>0</v>
      </c>
      <c r="AF93" s="52">
        <f>IF(AQ93="2",BH93,0)</f>
        <v>0</v>
      </c>
      <c r="AG93" s="52">
        <f>IF(AQ93="2",BI93,0)</f>
        <v>0</v>
      </c>
      <c r="AH93" s="52">
        <f>IF(AQ93="0",BJ93,0)</f>
        <v>0</v>
      </c>
      <c r="AI93" s="45"/>
      <c r="AJ93" s="3">
        <f>IF(AN93=0,J93,0)</f>
        <v>0</v>
      </c>
      <c r="AK93" s="3">
        <f>IF(AN93=15,J93,0)</f>
        <v>0</v>
      </c>
      <c r="AL93" s="3">
        <f>IF(AN93=21,J93,0)</f>
        <v>0</v>
      </c>
      <c r="AN93" s="52">
        <v>21</v>
      </c>
      <c r="AO93" s="52">
        <f>G93*0</f>
        <v>0</v>
      </c>
      <c r="AP93" s="52">
        <f>G93*(1-0)</f>
        <v>0</v>
      </c>
      <c r="AQ93" s="49" t="s">
        <v>11</v>
      </c>
      <c r="AV93" s="52">
        <f>AW93+AX93</f>
        <v>0</v>
      </c>
      <c r="AW93" s="52">
        <f>F93*AO93</f>
        <v>0</v>
      </c>
      <c r="AX93" s="52">
        <f>F93*AP93</f>
        <v>0</v>
      </c>
      <c r="AY93" s="53" t="s">
        <v>403</v>
      </c>
      <c r="AZ93" s="53" t="s">
        <v>418</v>
      </c>
      <c r="BA93" s="45" t="s">
        <v>420</v>
      </c>
      <c r="BC93" s="52">
        <f>AW93+AX93</f>
        <v>0</v>
      </c>
      <c r="BD93" s="52">
        <f>G93/(100-BE93)*100</f>
        <v>0</v>
      </c>
      <c r="BE93" s="52">
        <v>0</v>
      </c>
      <c r="BF93" s="52">
        <f>L93</f>
        <v>0</v>
      </c>
      <c r="BH93" s="3">
        <f>F93*AO93</f>
        <v>0</v>
      </c>
      <c r="BI93" s="3">
        <f>F93*AP93</f>
        <v>0</v>
      </c>
      <c r="BJ93" s="3">
        <f>F93*G93</f>
        <v>0</v>
      </c>
    </row>
    <row r="94" spans="1:47" ht="12.75">
      <c r="A94" s="30"/>
      <c r="B94" s="36"/>
      <c r="C94" s="36" t="s">
        <v>161</v>
      </c>
      <c r="D94" s="36" t="s">
        <v>232</v>
      </c>
      <c r="E94" s="30" t="s">
        <v>6</v>
      </c>
      <c r="F94" s="30" t="s">
        <v>6</v>
      </c>
      <c r="G94" s="30" t="s">
        <v>6</v>
      </c>
      <c r="H94" s="6">
        <f>SUM(H95:H95)</f>
        <v>0</v>
      </c>
      <c r="I94" s="6">
        <f>SUM(I95:I95)</f>
        <v>0</v>
      </c>
      <c r="J94" s="6">
        <f>SUM(J95:J95)</f>
        <v>0</v>
      </c>
      <c r="K94" s="45"/>
      <c r="L94" s="6">
        <f>SUM(L95:L95)</f>
        <v>0</v>
      </c>
      <c r="M94" s="45"/>
      <c r="AI94" s="45"/>
      <c r="AS94" s="6">
        <f>SUM(AJ95:AJ95)</f>
        <v>0</v>
      </c>
      <c r="AT94" s="6">
        <f>SUM(AK95:AK95)</f>
        <v>0</v>
      </c>
      <c r="AU94" s="6">
        <f>SUM(AL95:AL95)</f>
        <v>0</v>
      </c>
    </row>
    <row r="95" spans="1:62" ht="12.75">
      <c r="A95" s="1" t="s">
        <v>66</v>
      </c>
      <c r="B95" s="1"/>
      <c r="C95" s="1" t="s">
        <v>162</v>
      </c>
      <c r="D95" s="1" t="s">
        <v>263</v>
      </c>
      <c r="E95" s="1" t="s">
        <v>296</v>
      </c>
      <c r="F95" s="3">
        <f>'Rozpočet - vybrané sloupce'!AR94</f>
        <v>0.45441</v>
      </c>
      <c r="G95" s="3">
        <f>'Rozpočet - vybrané sloupce'!AW94</f>
        <v>0</v>
      </c>
      <c r="H95" s="3">
        <f>F95*AO95</f>
        <v>0</v>
      </c>
      <c r="I95" s="3">
        <f>F95*AP95</f>
        <v>0</v>
      </c>
      <c r="J95" s="3">
        <f>F95*G95</f>
        <v>0</v>
      </c>
      <c r="K95" s="3">
        <v>0</v>
      </c>
      <c r="L95" s="3">
        <f>F95*K95</f>
        <v>0</v>
      </c>
      <c r="M95" s="49" t="s">
        <v>369</v>
      </c>
      <c r="Z95" s="52">
        <f>IF(AQ95="5",BJ95,0)</f>
        <v>0</v>
      </c>
      <c r="AB95" s="52">
        <f>IF(AQ95="1",BH95,0)</f>
        <v>0</v>
      </c>
      <c r="AC95" s="52">
        <f>IF(AQ95="1",BI95,0)</f>
        <v>0</v>
      </c>
      <c r="AD95" s="52">
        <f>IF(AQ95="7",BH95,0)</f>
        <v>0</v>
      </c>
      <c r="AE95" s="52">
        <f>IF(AQ95="7",BI95,0)</f>
        <v>0</v>
      </c>
      <c r="AF95" s="52">
        <f>IF(AQ95="2",BH95,0)</f>
        <v>0</v>
      </c>
      <c r="AG95" s="52">
        <f>IF(AQ95="2",BI95,0)</f>
        <v>0</v>
      </c>
      <c r="AH95" s="52">
        <f>IF(AQ95="0",BJ95,0)</f>
        <v>0</v>
      </c>
      <c r="AI95" s="45"/>
      <c r="AJ95" s="3">
        <f>IF(AN95=0,J95,0)</f>
        <v>0</v>
      </c>
      <c r="AK95" s="3">
        <f>IF(AN95=15,J95,0)</f>
        <v>0</v>
      </c>
      <c r="AL95" s="3">
        <f>IF(AN95=21,J95,0)</f>
        <v>0</v>
      </c>
      <c r="AN95" s="52">
        <v>21</v>
      </c>
      <c r="AO95" s="52">
        <f>G95*0</f>
        <v>0</v>
      </c>
      <c r="AP95" s="52">
        <f>G95*(1-0)</f>
        <v>0</v>
      </c>
      <c r="AQ95" s="49" t="s">
        <v>11</v>
      </c>
      <c r="AV95" s="52">
        <f>AW95+AX95</f>
        <v>0</v>
      </c>
      <c r="AW95" s="52">
        <f>F95*AO95</f>
        <v>0</v>
      </c>
      <c r="AX95" s="52">
        <f>F95*AP95</f>
        <v>0</v>
      </c>
      <c r="AY95" s="53" t="s">
        <v>404</v>
      </c>
      <c r="AZ95" s="53" t="s">
        <v>418</v>
      </c>
      <c r="BA95" s="45" t="s">
        <v>420</v>
      </c>
      <c r="BC95" s="52">
        <f>AW95+AX95</f>
        <v>0</v>
      </c>
      <c r="BD95" s="52">
        <f>G95/(100-BE95)*100</f>
        <v>0</v>
      </c>
      <c r="BE95" s="52">
        <v>0</v>
      </c>
      <c r="BF95" s="52">
        <f>L95</f>
        <v>0</v>
      </c>
      <c r="BH95" s="3">
        <f>F95*AO95</f>
        <v>0</v>
      </c>
      <c r="BI95" s="3">
        <f>F95*AP95</f>
        <v>0</v>
      </c>
      <c r="BJ95" s="3">
        <f>F95*G95</f>
        <v>0</v>
      </c>
    </row>
    <row r="96" spans="1:47" ht="12.75">
      <c r="A96" s="30"/>
      <c r="B96" s="36"/>
      <c r="C96" s="36" t="s">
        <v>163</v>
      </c>
      <c r="D96" s="36" t="s">
        <v>236</v>
      </c>
      <c r="E96" s="30" t="s">
        <v>6</v>
      </c>
      <c r="F96" s="30" t="s">
        <v>6</v>
      </c>
      <c r="G96" s="30" t="s">
        <v>6</v>
      </c>
      <c r="H96" s="6">
        <f>SUM(H97:H97)</f>
        <v>0</v>
      </c>
      <c r="I96" s="6">
        <f>SUM(I97:I97)</f>
        <v>0</v>
      </c>
      <c r="J96" s="6">
        <f>SUM(J97:J97)</f>
        <v>0</v>
      </c>
      <c r="K96" s="45"/>
      <c r="L96" s="6">
        <f>SUM(L97:L97)</f>
        <v>0</v>
      </c>
      <c r="M96" s="45"/>
      <c r="AI96" s="45"/>
      <c r="AS96" s="6">
        <f>SUM(AJ97:AJ97)</f>
        <v>0</v>
      </c>
      <c r="AT96" s="6">
        <f>SUM(AK97:AK97)</f>
        <v>0</v>
      </c>
      <c r="AU96" s="6">
        <f>SUM(AL97:AL97)</f>
        <v>0</v>
      </c>
    </row>
    <row r="97" spans="1:62" ht="12.75">
      <c r="A97" s="1" t="s">
        <v>67</v>
      </c>
      <c r="B97" s="1"/>
      <c r="C97" s="1" t="s">
        <v>164</v>
      </c>
      <c r="D97" s="1" t="s">
        <v>264</v>
      </c>
      <c r="E97" s="1" t="s">
        <v>296</v>
      </c>
      <c r="F97" s="3">
        <f>'Rozpočet - vybrané sloupce'!AR96</f>
        <v>0.6382</v>
      </c>
      <c r="G97" s="3">
        <f>'Rozpočet - vybrané sloupce'!AW96</f>
        <v>0</v>
      </c>
      <c r="H97" s="3">
        <f>F97*AO97</f>
        <v>0</v>
      </c>
      <c r="I97" s="3">
        <f>F97*AP97</f>
        <v>0</v>
      </c>
      <c r="J97" s="3">
        <f>F97*G97</f>
        <v>0</v>
      </c>
      <c r="K97" s="3">
        <v>0</v>
      </c>
      <c r="L97" s="3">
        <f>F97*K97</f>
        <v>0</v>
      </c>
      <c r="M97" s="49" t="s">
        <v>369</v>
      </c>
      <c r="Z97" s="52">
        <f>IF(AQ97="5",BJ97,0)</f>
        <v>0</v>
      </c>
      <c r="AB97" s="52">
        <f>IF(AQ97="1",BH97,0)</f>
        <v>0</v>
      </c>
      <c r="AC97" s="52">
        <f>IF(AQ97="1",BI97,0)</f>
        <v>0</v>
      </c>
      <c r="AD97" s="52">
        <f>IF(AQ97="7",BH97,0)</f>
        <v>0</v>
      </c>
      <c r="AE97" s="52">
        <f>IF(AQ97="7",BI97,0)</f>
        <v>0</v>
      </c>
      <c r="AF97" s="52">
        <f>IF(AQ97="2",BH97,0)</f>
        <v>0</v>
      </c>
      <c r="AG97" s="52">
        <f>IF(AQ97="2",BI97,0)</f>
        <v>0</v>
      </c>
      <c r="AH97" s="52">
        <f>IF(AQ97="0",BJ97,0)</f>
        <v>0</v>
      </c>
      <c r="AI97" s="45"/>
      <c r="AJ97" s="3">
        <f>IF(AN97=0,J97,0)</f>
        <v>0</v>
      </c>
      <c r="AK97" s="3">
        <f>IF(AN97=15,J97,0)</f>
        <v>0</v>
      </c>
      <c r="AL97" s="3">
        <f>IF(AN97=21,J97,0)</f>
        <v>0</v>
      </c>
      <c r="AN97" s="52">
        <v>21</v>
      </c>
      <c r="AO97" s="52">
        <f>G97*0</f>
        <v>0</v>
      </c>
      <c r="AP97" s="52">
        <f>G97*(1-0)</f>
        <v>0</v>
      </c>
      <c r="AQ97" s="49" t="s">
        <v>11</v>
      </c>
      <c r="AV97" s="52">
        <f>AW97+AX97</f>
        <v>0</v>
      </c>
      <c r="AW97" s="52">
        <f>F97*AO97</f>
        <v>0</v>
      </c>
      <c r="AX97" s="52">
        <f>F97*AP97</f>
        <v>0</v>
      </c>
      <c r="AY97" s="53" t="s">
        <v>405</v>
      </c>
      <c r="AZ97" s="53" t="s">
        <v>418</v>
      </c>
      <c r="BA97" s="45" t="s">
        <v>420</v>
      </c>
      <c r="BC97" s="52">
        <f>AW97+AX97</f>
        <v>0</v>
      </c>
      <c r="BD97" s="52">
        <f>G97/(100-BE97)*100</f>
        <v>0</v>
      </c>
      <c r="BE97" s="52">
        <v>0</v>
      </c>
      <c r="BF97" s="52">
        <f>L97</f>
        <v>0</v>
      </c>
      <c r="BH97" s="3">
        <f>F97*AO97</f>
        <v>0</v>
      </c>
      <c r="BI97" s="3">
        <f>F97*AP97</f>
        <v>0</v>
      </c>
      <c r="BJ97" s="3">
        <f>F97*G97</f>
        <v>0</v>
      </c>
    </row>
    <row r="98" spans="1:47" ht="12.75">
      <c r="A98" s="30"/>
      <c r="B98" s="36"/>
      <c r="C98" s="36" t="s">
        <v>165</v>
      </c>
      <c r="D98" s="36" t="s">
        <v>265</v>
      </c>
      <c r="E98" s="30" t="s">
        <v>6</v>
      </c>
      <c r="F98" s="30" t="s">
        <v>6</v>
      </c>
      <c r="G98" s="30" t="s">
        <v>6</v>
      </c>
      <c r="H98" s="6">
        <f>SUM(H99:H99)</f>
        <v>0</v>
      </c>
      <c r="I98" s="6">
        <f>SUM(I99:I99)</f>
        <v>0</v>
      </c>
      <c r="J98" s="6">
        <f>SUM(J99:J99)</f>
        <v>0</v>
      </c>
      <c r="K98" s="45"/>
      <c r="L98" s="6">
        <f>SUM(L99:L99)</f>
        <v>0</v>
      </c>
      <c r="M98" s="45"/>
      <c r="AI98" s="45"/>
      <c r="AS98" s="6">
        <f>SUM(AJ99:AJ99)</f>
        <v>0</v>
      </c>
      <c r="AT98" s="6">
        <f>SUM(AK99:AK99)</f>
        <v>0</v>
      </c>
      <c r="AU98" s="6">
        <f>SUM(AL99:AL99)</f>
        <v>0</v>
      </c>
    </row>
    <row r="99" spans="1:62" ht="12.75">
      <c r="A99" s="1" t="s">
        <v>68</v>
      </c>
      <c r="B99" s="1"/>
      <c r="C99" s="1" t="s">
        <v>166</v>
      </c>
      <c r="D99" s="1" t="s">
        <v>266</v>
      </c>
      <c r="E99" s="1" t="s">
        <v>296</v>
      </c>
      <c r="F99" s="3">
        <f>'Rozpočet - vybrané sloupce'!AR98</f>
        <v>2.76344</v>
      </c>
      <c r="G99" s="3">
        <f>'Rozpočet - vybrané sloupce'!AW98</f>
        <v>0</v>
      </c>
      <c r="H99" s="3">
        <f>F99*AO99</f>
        <v>0</v>
      </c>
      <c r="I99" s="3">
        <f>F99*AP99</f>
        <v>0</v>
      </c>
      <c r="J99" s="3">
        <f>F99*G99</f>
        <v>0</v>
      </c>
      <c r="K99" s="3">
        <v>0</v>
      </c>
      <c r="L99" s="3">
        <f>F99*K99</f>
        <v>0</v>
      </c>
      <c r="M99" s="49" t="s">
        <v>369</v>
      </c>
      <c r="Z99" s="52">
        <f>IF(AQ99="5",BJ99,0)</f>
        <v>0</v>
      </c>
      <c r="AB99" s="52">
        <f>IF(AQ99="1",BH99,0)</f>
        <v>0</v>
      </c>
      <c r="AC99" s="52">
        <f>IF(AQ99="1",BI99,0)</f>
        <v>0</v>
      </c>
      <c r="AD99" s="52">
        <f>IF(AQ99="7",BH99,0)</f>
        <v>0</v>
      </c>
      <c r="AE99" s="52">
        <f>IF(AQ99="7",BI99,0)</f>
        <v>0</v>
      </c>
      <c r="AF99" s="52">
        <f>IF(AQ99="2",BH99,0)</f>
        <v>0</v>
      </c>
      <c r="AG99" s="52">
        <f>IF(AQ99="2",BI99,0)</f>
        <v>0</v>
      </c>
      <c r="AH99" s="52">
        <f>IF(AQ99="0",BJ99,0)</f>
        <v>0</v>
      </c>
      <c r="AI99" s="45"/>
      <c r="AJ99" s="3">
        <f>IF(AN99=0,J99,0)</f>
        <v>0</v>
      </c>
      <c r="AK99" s="3">
        <f>IF(AN99=15,J99,0)</f>
        <v>0</v>
      </c>
      <c r="AL99" s="3">
        <f>IF(AN99=21,J99,0)</f>
        <v>0</v>
      </c>
      <c r="AN99" s="52">
        <v>21</v>
      </c>
      <c r="AO99" s="52">
        <f>G99*0</f>
        <v>0</v>
      </c>
      <c r="AP99" s="52">
        <f>G99*(1-0)</f>
        <v>0</v>
      </c>
      <c r="AQ99" s="49" t="s">
        <v>11</v>
      </c>
      <c r="AV99" s="52">
        <f>AW99+AX99</f>
        <v>0</v>
      </c>
      <c r="AW99" s="52">
        <f>F99*AO99</f>
        <v>0</v>
      </c>
      <c r="AX99" s="52">
        <f>F99*AP99</f>
        <v>0</v>
      </c>
      <c r="AY99" s="53" t="s">
        <v>406</v>
      </c>
      <c r="AZ99" s="53" t="s">
        <v>418</v>
      </c>
      <c r="BA99" s="45" t="s">
        <v>420</v>
      </c>
      <c r="BC99" s="52">
        <f>AW99+AX99</f>
        <v>0</v>
      </c>
      <c r="BD99" s="52">
        <f>G99/(100-BE99)*100</f>
        <v>0</v>
      </c>
      <c r="BE99" s="52">
        <v>0</v>
      </c>
      <c r="BF99" s="52">
        <f>L99</f>
        <v>0</v>
      </c>
      <c r="BH99" s="3">
        <f>F99*AO99</f>
        <v>0</v>
      </c>
      <c r="BI99" s="3">
        <f>F99*AP99</f>
        <v>0</v>
      </c>
      <c r="BJ99" s="3">
        <f>F99*G99</f>
        <v>0</v>
      </c>
    </row>
    <row r="100" spans="1:47" ht="12.75">
      <c r="A100" s="30"/>
      <c r="B100" s="36"/>
      <c r="C100" s="36" t="s">
        <v>167</v>
      </c>
      <c r="D100" s="36" t="s">
        <v>267</v>
      </c>
      <c r="E100" s="30" t="s">
        <v>6</v>
      </c>
      <c r="F100" s="30" t="s">
        <v>6</v>
      </c>
      <c r="G100" s="30" t="s">
        <v>6</v>
      </c>
      <c r="H100" s="6">
        <f>SUM(H101:H102)</f>
        <v>0</v>
      </c>
      <c r="I100" s="6">
        <f>SUM(I101:I102)</f>
        <v>0</v>
      </c>
      <c r="J100" s="6">
        <f>SUM(J101:J102)</f>
        <v>0</v>
      </c>
      <c r="K100" s="45"/>
      <c r="L100" s="6">
        <f>SUM(L101:L102)</f>
        <v>1E-05</v>
      </c>
      <c r="M100" s="45"/>
      <c r="AI100" s="45"/>
      <c r="AS100" s="6">
        <f>SUM(AJ101:AJ102)</f>
        <v>0</v>
      </c>
      <c r="AT100" s="6">
        <f>SUM(AK101:AK102)</f>
        <v>0</v>
      </c>
      <c r="AU100" s="6">
        <f>SUM(AL101:AL102)</f>
        <v>0</v>
      </c>
    </row>
    <row r="101" spans="1:62" ht="12.75">
      <c r="A101" s="1" t="s">
        <v>69</v>
      </c>
      <c r="B101" s="1"/>
      <c r="C101" s="1" t="s">
        <v>168</v>
      </c>
      <c r="D101" s="1" t="s">
        <v>268</v>
      </c>
      <c r="E101" s="1" t="s">
        <v>290</v>
      </c>
      <c r="F101" s="3">
        <f>'Rozpočet - vybrané sloupce'!AR100</f>
        <v>3</v>
      </c>
      <c r="G101" s="3">
        <f>'Rozpočet - vybrané sloupce'!AW100</f>
        <v>0</v>
      </c>
      <c r="H101" s="3">
        <f>F101*AO101</f>
        <v>0</v>
      </c>
      <c r="I101" s="3">
        <f>F101*AP101</f>
        <v>0</v>
      </c>
      <c r="J101" s="3">
        <f>F101*G101</f>
        <v>0</v>
      </c>
      <c r="K101" s="3">
        <v>0</v>
      </c>
      <c r="L101" s="3">
        <f>F101*K101</f>
        <v>0</v>
      </c>
      <c r="M101" s="49" t="s">
        <v>369</v>
      </c>
      <c r="Z101" s="52">
        <f>IF(AQ101="5",BJ101,0)</f>
        <v>0</v>
      </c>
      <c r="AB101" s="52">
        <f>IF(AQ101="1",BH101,0)</f>
        <v>0</v>
      </c>
      <c r="AC101" s="52">
        <f>IF(AQ101="1",BI101,0)</f>
        <v>0</v>
      </c>
      <c r="AD101" s="52">
        <f>IF(AQ101="7",BH101,0)</f>
        <v>0</v>
      </c>
      <c r="AE101" s="52">
        <f>IF(AQ101="7",BI101,0)</f>
        <v>0</v>
      </c>
      <c r="AF101" s="52">
        <f>IF(AQ101="2",BH101,0)</f>
        <v>0</v>
      </c>
      <c r="AG101" s="52">
        <f>IF(AQ101="2",BI101,0)</f>
        <v>0</v>
      </c>
      <c r="AH101" s="52">
        <f>IF(AQ101="0",BJ101,0)</f>
        <v>0</v>
      </c>
      <c r="AI101" s="45"/>
      <c r="AJ101" s="3">
        <f>IF(AN101=0,J101,0)</f>
        <v>0</v>
      </c>
      <c r="AK101" s="3">
        <f>IF(AN101=15,J101,0)</f>
        <v>0</v>
      </c>
      <c r="AL101" s="3">
        <f>IF(AN101=21,J101,0)</f>
        <v>0</v>
      </c>
      <c r="AN101" s="52">
        <v>21</v>
      </c>
      <c r="AO101" s="52">
        <f>G101*0</f>
        <v>0</v>
      </c>
      <c r="AP101" s="52">
        <f>G101*(1-0)</f>
        <v>0</v>
      </c>
      <c r="AQ101" s="49" t="s">
        <v>8</v>
      </c>
      <c r="AV101" s="52">
        <f>AW101+AX101</f>
        <v>0</v>
      </c>
      <c r="AW101" s="52">
        <f>F101*AO101</f>
        <v>0</v>
      </c>
      <c r="AX101" s="52">
        <f>F101*AP101</f>
        <v>0</v>
      </c>
      <c r="AY101" s="53" t="s">
        <v>407</v>
      </c>
      <c r="AZ101" s="53" t="s">
        <v>418</v>
      </c>
      <c r="BA101" s="45" t="s">
        <v>420</v>
      </c>
      <c r="BC101" s="52">
        <f>AW101+AX101</f>
        <v>0</v>
      </c>
      <c r="BD101" s="52">
        <f>G101/(100-BE101)*100</f>
        <v>0</v>
      </c>
      <c r="BE101" s="52">
        <v>0</v>
      </c>
      <c r="BF101" s="52">
        <f>L101</f>
        <v>0</v>
      </c>
      <c r="BH101" s="3">
        <f>F101*AO101</f>
        <v>0</v>
      </c>
      <c r="BI101" s="3">
        <f>F101*AP101</f>
        <v>0</v>
      </c>
      <c r="BJ101" s="3">
        <f>F101*G101</f>
        <v>0</v>
      </c>
    </row>
    <row r="102" spans="1:62" ht="12.75">
      <c r="A102" s="1" t="s">
        <v>70</v>
      </c>
      <c r="B102" s="1"/>
      <c r="C102" s="1" t="s">
        <v>169</v>
      </c>
      <c r="D102" s="1" t="s">
        <v>269</v>
      </c>
      <c r="E102" s="1" t="s">
        <v>293</v>
      </c>
      <c r="F102" s="3">
        <f>'Rozpočet - vybrané sloupce'!AR101</f>
        <v>1</v>
      </c>
      <c r="G102" s="3">
        <f>'Rozpočet - vybrané sloupce'!AW101</f>
        <v>0</v>
      </c>
      <c r="H102" s="3">
        <f>F102*AO102</f>
        <v>0</v>
      </c>
      <c r="I102" s="3">
        <f>F102*AP102</f>
        <v>0</v>
      </c>
      <c r="J102" s="3">
        <f>F102*G102</f>
        <v>0</v>
      </c>
      <c r="K102" s="3">
        <v>1E-05</v>
      </c>
      <c r="L102" s="3">
        <f>F102*K102</f>
        <v>1E-05</v>
      </c>
      <c r="M102" s="49" t="s">
        <v>369</v>
      </c>
      <c r="Z102" s="52">
        <f>IF(AQ102="5",BJ102,0)</f>
        <v>0</v>
      </c>
      <c r="AB102" s="52">
        <f>IF(AQ102="1",BH102,0)</f>
        <v>0</v>
      </c>
      <c r="AC102" s="52">
        <f>IF(AQ102="1",BI102,0)</f>
        <v>0</v>
      </c>
      <c r="AD102" s="52">
        <f>IF(AQ102="7",BH102,0)</f>
        <v>0</v>
      </c>
      <c r="AE102" s="52">
        <f>IF(AQ102="7",BI102,0)</f>
        <v>0</v>
      </c>
      <c r="AF102" s="52">
        <f>IF(AQ102="2",BH102,0)</f>
        <v>0</v>
      </c>
      <c r="AG102" s="52">
        <f>IF(AQ102="2",BI102,0)</f>
        <v>0</v>
      </c>
      <c r="AH102" s="52">
        <f>IF(AQ102="0",BJ102,0)</f>
        <v>0</v>
      </c>
      <c r="AI102" s="45"/>
      <c r="AJ102" s="3">
        <f>IF(AN102=0,J102,0)</f>
        <v>0</v>
      </c>
      <c r="AK102" s="3">
        <f>IF(AN102=15,J102,0)</f>
        <v>0</v>
      </c>
      <c r="AL102" s="3">
        <f>IF(AN102=21,J102,0)</f>
        <v>0</v>
      </c>
      <c r="AN102" s="52">
        <v>21</v>
      </c>
      <c r="AO102" s="52">
        <f>G102*0.104898095238095</f>
        <v>0</v>
      </c>
      <c r="AP102" s="52">
        <f>G102*(1-0.104898095238095)</f>
        <v>0</v>
      </c>
      <c r="AQ102" s="49" t="s">
        <v>8</v>
      </c>
      <c r="AV102" s="52">
        <f>AW102+AX102</f>
        <v>0</v>
      </c>
      <c r="AW102" s="52">
        <f>F102*AO102</f>
        <v>0</v>
      </c>
      <c r="AX102" s="52">
        <f>F102*AP102</f>
        <v>0</v>
      </c>
      <c r="AY102" s="53" t="s">
        <v>407</v>
      </c>
      <c r="AZ102" s="53" t="s">
        <v>418</v>
      </c>
      <c r="BA102" s="45" t="s">
        <v>420</v>
      </c>
      <c r="BC102" s="52">
        <f>AW102+AX102</f>
        <v>0</v>
      </c>
      <c r="BD102" s="52">
        <f>G102/(100-BE102)*100</f>
        <v>0</v>
      </c>
      <c r="BE102" s="52">
        <v>0</v>
      </c>
      <c r="BF102" s="52">
        <f>L102</f>
        <v>1E-05</v>
      </c>
      <c r="BH102" s="3">
        <f>F102*AO102</f>
        <v>0</v>
      </c>
      <c r="BI102" s="3">
        <f>F102*AP102</f>
        <v>0</v>
      </c>
      <c r="BJ102" s="3">
        <f>F102*G102</f>
        <v>0</v>
      </c>
    </row>
    <row r="103" spans="1:47" ht="12.75">
      <c r="A103" s="30"/>
      <c r="B103" s="36"/>
      <c r="C103" s="36" t="s">
        <v>170</v>
      </c>
      <c r="D103" s="36" t="s">
        <v>270</v>
      </c>
      <c r="E103" s="30" t="s">
        <v>6</v>
      </c>
      <c r="F103" s="30" t="s">
        <v>6</v>
      </c>
      <c r="G103" s="30" t="s">
        <v>6</v>
      </c>
      <c r="H103" s="6">
        <f>SUM(H104:H109)</f>
        <v>0</v>
      </c>
      <c r="I103" s="6">
        <f>SUM(I104:I109)</f>
        <v>0</v>
      </c>
      <c r="J103" s="6">
        <f>SUM(J104:J109)</f>
        <v>0</v>
      </c>
      <c r="K103" s="45"/>
      <c r="L103" s="6">
        <f>SUM(L104:L109)</f>
        <v>0</v>
      </c>
      <c r="M103" s="45"/>
      <c r="AI103" s="45"/>
      <c r="AS103" s="6">
        <f>SUM(AJ104:AJ109)</f>
        <v>0</v>
      </c>
      <c r="AT103" s="6">
        <f>SUM(AK104:AK109)</f>
        <v>0</v>
      </c>
      <c r="AU103" s="6">
        <f>SUM(AL104:AL109)</f>
        <v>0</v>
      </c>
    </row>
    <row r="104" spans="1:62" ht="12.75">
      <c r="A104" s="1" t="s">
        <v>71</v>
      </c>
      <c r="B104" s="1"/>
      <c r="C104" s="1" t="s">
        <v>171</v>
      </c>
      <c r="D104" s="1" t="s">
        <v>271</v>
      </c>
      <c r="E104" s="1" t="s">
        <v>296</v>
      </c>
      <c r="F104" s="3">
        <f>'Rozpočet - vybrané sloupce'!AR103</f>
        <v>7.41692</v>
      </c>
      <c r="G104" s="3">
        <f>'Rozpočet - vybrané sloupce'!AW103</f>
        <v>0</v>
      </c>
      <c r="H104" s="3">
        <f aca="true" t="shared" si="48" ref="H104:H109">F104*AO104</f>
        <v>0</v>
      </c>
      <c r="I104" s="3">
        <f aca="true" t="shared" si="49" ref="I104:I109">F104*AP104</f>
        <v>0</v>
      </c>
      <c r="J104" s="3">
        <f aca="true" t="shared" si="50" ref="J104:J109">F104*G104</f>
        <v>0</v>
      </c>
      <c r="K104" s="3">
        <v>0</v>
      </c>
      <c r="L104" s="3">
        <f aca="true" t="shared" si="51" ref="L104:L109">F104*K104</f>
        <v>0</v>
      </c>
      <c r="M104" s="49" t="s">
        <v>369</v>
      </c>
      <c r="Z104" s="52">
        <f aca="true" t="shared" si="52" ref="Z104:Z109">IF(AQ104="5",BJ104,0)</f>
        <v>0</v>
      </c>
      <c r="AB104" s="52">
        <f aca="true" t="shared" si="53" ref="AB104:AB109">IF(AQ104="1",BH104,0)</f>
        <v>0</v>
      </c>
      <c r="AC104" s="52">
        <f aca="true" t="shared" si="54" ref="AC104:AC109">IF(AQ104="1",BI104,0)</f>
        <v>0</v>
      </c>
      <c r="AD104" s="52">
        <f aca="true" t="shared" si="55" ref="AD104:AD109">IF(AQ104="7",BH104,0)</f>
        <v>0</v>
      </c>
      <c r="AE104" s="52">
        <f aca="true" t="shared" si="56" ref="AE104:AE109">IF(AQ104="7",BI104,0)</f>
        <v>0</v>
      </c>
      <c r="AF104" s="52">
        <f aca="true" t="shared" si="57" ref="AF104:AF109">IF(AQ104="2",BH104,0)</f>
        <v>0</v>
      </c>
      <c r="AG104" s="52">
        <f aca="true" t="shared" si="58" ref="AG104:AG109">IF(AQ104="2",BI104,0)</f>
        <v>0</v>
      </c>
      <c r="AH104" s="52">
        <f aca="true" t="shared" si="59" ref="AH104:AH109">IF(AQ104="0",BJ104,0)</f>
        <v>0</v>
      </c>
      <c r="AI104" s="45"/>
      <c r="AJ104" s="3">
        <f aca="true" t="shared" si="60" ref="AJ104:AJ109">IF(AN104=0,J104,0)</f>
        <v>0</v>
      </c>
      <c r="AK104" s="3">
        <f aca="true" t="shared" si="61" ref="AK104:AK109">IF(AN104=15,J104,0)</f>
        <v>0</v>
      </c>
      <c r="AL104" s="3">
        <f aca="true" t="shared" si="62" ref="AL104:AL109">IF(AN104=21,J104,0)</f>
        <v>0</v>
      </c>
      <c r="AN104" s="52">
        <v>21</v>
      </c>
      <c r="AO104" s="52">
        <f aca="true" t="shared" si="63" ref="AO104:AO109">G104*0</f>
        <v>0</v>
      </c>
      <c r="AP104" s="52">
        <f aca="true" t="shared" si="64" ref="AP104:AP109">G104*(1-0)</f>
        <v>0</v>
      </c>
      <c r="AQ104" s="49" t="s">
        <v>11</v>
      </c>
      <c r="AV104" s="52">
        <f aca="true" t="shared" si="65" ref="AV104:AV109">AW104+AX104</f>
        <v>0</v>
      </c>
      <c r="AW104" s="52">
        <f aca="true" t="shared" si="66" ref="AW104:AW109">F104*AO104</f>
        <v>0</v>
      </c>
      <c r="AX104" s="52">
        <f aca="true" t="shared" si="67" ref="AX104:AX109">F104*AP104</f>
        <v>0</v>
      </c>
      <c r="AY104" s="53" t="s">
        <v>408</v>
      </c>
      <c r="AZ104" s="53" t="s">
        <v>418</v>
      </c>
      <c r="BA104" s="45" t="s">
        <v>420</v>
      </c>
      <c r="BC104" s="52">
        <f aca="true" t="shared" si="68" ref="BC104:BC109">AW104+AX104</f>
        <v>0</v>
      </c>
      <c r="BD104" s="52">
        <f aca="true" t="shared" si="69" ref="BD104:BD109">G104/(100-BE104)*100</f>
        <v>0</v>
      </c>
      <c r="BE104" s="52">
        <v>0</v>
      </c>
      <c r="BF104" s="52">
        <f aca="true" t="shared" si="70" ref="BF104:BF109">L104</f>
        <v>0</v>
      </c>
      <c r="BH104" s="3">
        <f aca="true" t="shared" si="71" ref="BH104:BH109">F104*AO104</f>
        <v>0</v>
      </c>
      <c r="BI104" s="3">
        <f aca="true" t="shared" si="72" ref="BI104:BI109">F104*AP104</f>
        <v>0</v>
      </c>
      <c r="BJ104" s="3">
        <f aca="true" t="shared" si="73" ref="BJ104:BJ109">F104*G104</f>
        <v>0</v>
      </c>
    </row>
    <row r="105" spans="1:62" ht="12.75">
      <c r="A105" s="1" t="s">
        <v>72</v>
      </c>
      <c r="B105" s="1"/>
      <c r="C105" s="1" t="s">
        <v>172</v>
      </c>
      <c r="D105" s="1" t="s">
        <v>272</v>
      </c>
      <c r="E105" s="1" t="s">
        <v>296</v>
      </c>
      <c r="F105" s="3">
        <f>'Rozpočet - vybrané sloupce'!AR104</f>
        <v>7.41692</v>
      </c>
      <c r="G105" s="3">
        <f>'Rozpočet - vybrané sloupce'!AW104</f>
        <v>0</v>
      </c>
      <c r="H105" s="3">
        <f t="shared" si="48"/>
        <v>0</v>
      </c>
      <c r="I105" s="3">
        <f t="shared" si="49"/>
        <v>0</v>
      </c>
      <c r="J105" s="3">
        <f t="shared" si="50"/>
        <v>0</v>
      </c>
      <c r="K105" s="3">
        <v>0</v>
      </c>
      <c r="L105" s="3">
        <f t="shared" si="51"/>
        <v>0</v>
      </c>
      <c r="M105" s="49" t="s">
        <v>369</v>
      </c>
      <c r="Z105" s="52">
        <f t="shared" si="52"/>
        <v>0</v>
      </c>
      <c r="AB105" s="52">
        <f t="shared" si="53"/>
        <v>0</v>
      </c>
      <c r="AC105" s="52">
        <f t="shared" si="54"/>
        <v>0</v>
      </c>
      <c r="AD105" s="52">
        <f t="shared" si="55"/>
        <v>0</v>
      </c>
      <c r="AE105" s="52">
        <f t="shared" si="56"/>
        <v>0</v>
      </c>
      <c r="AF105" s="52">
        <f t="shared" si="57"/>
        <v>0</v>
      </c>
      <c r="AG105" s="52">
        <f t="shared" si="58"/>
        <v>0</v>
      </c>
      <c r="AH105" s="52">
        <f t="shared" si="59"/>
        <v>0</v>
      </c>
      <c r="AI105" s="45"/>
      <c r="AJ105" s="3">
        <f t="shared" si="60"/>
        <v>0</v>
      </c>
      <c r="AK105" s="3">
        <f t="shared" si="61"/>
        <v>0</v>
      </c>
      <c r="AL105" s="3">
        <f t="shared" si="62"/>
        <v>0</v>
      </c>
      <c r="AN105" s="52">
        <v>21</v>
      </c>
      <c r="AO105" s="52">
        <f t="shared" si="63"/>
        <v>0</v>
      </c>
      <c r="AP105" s="52">
        <f t="shared" si="64"/>
        <v>0</v>
      </c>
      <c r="AQ105" s="49" t="s">
        <v>11</v>
      </c>
      <c r="AV105" s="52">
        <f t="shared" si="65"/>
        <v>0</v>
      </c>
      <c r="AW105" s="52">
        <f t="shared" si="66"/>
        <v>0</v>
      </c>
      <c r="AX105" s="52">
        <f t="shared" si="67"/>
        <v>0</v>
      </c>
      <c r="AY105" s="53" t="s">
        <v>408</v>
      </c>
      <c r="AZ105" s="53" t="s">
        <v>418</v>
      </c>
      <c r="BA105" s="45" t="s">
        <v>420</v>
      </c>
      <c r="BC105" s="52">
        <f t="shared" si="68"/>
        <v>0</v>
      </c>
      <c r="BD105" s="52">
        <f t="shared" si="69"/>
        <v>0</v>
      </c>
      <c r="BE105" s="52">
        <v>0</v>
      </c>
      <c r="BF105" s="52">
        <f t="shared" si="70"/>
        <v>0</v>
      </c>
      <c r="BH105" s="3">
        <f t="shared" si="71"/>
        <v>0</v>
      </c>
      <c r="BI105" s="3">
        <f t="shared" si="72"/>
        <v>0</v>
      </c>
      <c r="BJ105" s="3">
        <f t="shared" si="73"/>
        <v>0</v>
      </c>
    </row>
    <row r="106" spans="1:62" ht="12.75">
      <c r="A106" s="1" t="s">
        <v>73</v>
      </c>
      <c r="B106" s="1"/>
      <c r="C106" s="1" t="s">
        <v>173</v>
      </c>
      <c r="D106" s="1" t="s">
        <v>273</v>
      </c>
      <c r="E106" s="1" t="s">
        <v>296</v>
      </c>
      <c r="F106" s="3">
        <f>'Rozpočet - vybrané sloupce'!AR105</f>
        <v>7.41692</v>
      </c>
      <c r="G106" s="3">
        <f>'Rozpočet - vybrané sloupce'!AW105</f>
        <v>0</v>
      </c>
      <c r="H106" s="3">
        <f t="shared" si="48"/>
        <v>0</v>
      </c>
      <c r="I106" s="3">
        <f t="shared" si="49"/>
        <v>0</v>
      </c>
      <c r="J106" s="3">
        <f t="shared" si="50"/>
        <v>0</v>
      </c>
      <c r="K106" s="3">
        <v>0</v>
      </c>
      <c r="L106" s="3">
        <f t="shared" si="51"/>
        <v>0</v>
      </c>
      <c r="M106" s="49" t="s">
        <v>369</v>
      </c>
      <c r="Z106" s="52">
        <f t="shared" si="52"/>
        <v>0</v>
      </c>
      <c r="AB106" s="52">
        <f t="shared" si="53"/>
        <v>0</v>
      </c>
      <c r="AC106" s="52">
        <f t="shared" si="54"/>
        <v>0</v>
      </c>
      <c r="AD106" s="52">
        <f t="shared" si="55"/>
        <v>0</v>
      </c>
      <c r="AE106" s="52">
        <f t="shared" si="56"/>
        <v>0</v>
      </c>
      <c r="AF106" s="52">
        <f t="shared" si="57"/>
        <v>0</v>
      </c>
      <c r="AG106" s="52">
        <f t="shared" si="58"/>
        <v>0</v>
      </c>
      <c r="AH106" s="52">
        <f t="shared" si="59"/>
        <v>0</v>
      </c>
      <c r="AI106" s="45"/>
      <c r="AJ106" s="3">
        <f t="shared" si="60"/>
        <v>0</v>
      </c>
      <c r="AK106" s="3">
        <f t="shared" si="61"/>
        <v>0</v>
      </c>
      <c r="AL106" s="3">
        <f t="shared" si="62"/>
        <v>0</v>
      </c>
      <c r="AN106" s="52">
        <v>21</v>
      </c>
      <c r="AO106" s="52">
        <f t="shared" si="63"/>
        <v>0</v>
      </c>
      <c r="AP106" s="52">
        <f t="shared" si="64"/>
        <v>0</v>
      </c>
      <c r="AQ106" s="49" t="s">
        <v>11</v>
      </c>
      <c r="AV106" s="52">
        <f t="shared" si="65"/>
        <v>0</v>
      </c>
      <c r="AW106" s="52">
        <f t="shared" si="66"/>
        <v>0</v>
      </c>
      <c r="AX106" s="52">
        <f t="shared" si="67"/>
        <v>0</v>
      </c>
      <c r="AY106" s="53" t="s">
        <v>408</v>
      </c>
      <c r="AZ106" s="53" t="s">
        <v>418</v>
      </c>
      <c r="BA106" s="45" t="s">
        <v>420</v>
      </c>
      <c r="BC106" s="52">
        <f t="shared" si="68"/>
        <v>0</v>
      </c>
      <c r="BD106" s="52">
        <f t="shared" si="69"/>
        <v>0</v>
      </c>
      <c r="BE106" s="52">
        <v>0</v>
      </c>
      <c r="BF106" s="52">
        <f t="shared" si="70"/>
        <v>0</v>
      </c>
      <c r="BH106" s="3">
        <f t="shared" si="71"/>
        <v>0</v>
      </c>
      <c r="BI106" s="3">
        <f t="shared" si="72"/>
        <v>0</v>
      </c>
      <c r="BJ106" s="3">
        <f t="shared" si="73"/>
        <v>0</v>
      </c>
    </row>
    <row r="107" spans="1:62" ht="12.75">
      <c r="A107" s="1" t="s">
        <v>74</v>
      </c>
      <c r="B107" s="1"/>
      <c r="C107" s="1" t="s">
        <v>174</v>
      </c>
      <c r="D107" s="1" t="s">
        <v>274</v>
      </c>
      <c r="E107" s="1" t="s">
        <v>296</v>
      </c>
      <c r="F107" s="3">
        <f>'Rozpočet - vybrané sloupce'!AR106</f>
        <v>7.41692</v>
      </c>
      <c r="G107" s="3">
        <f>'Rozpočet - vybrané sloupce'!AW106</f>
        <v>0</v>
      </c>
      <c r="H107" s="3">
        <f t="shared" si="48"/>
        <v>0</v>
      </c>
      <c r="I107" s="3">
        <f t="shared" si="49"/>
        <v>0</v>
      </c>
      <c r="J107" s="3">
        <f t="shared" si="50"/>
        <v>0</v>
      </c>
      <c r="K107" s="3">
        <v>0</v>
      </c>
      <c r="L107" s="3">
        <f t="shared" si="51"/>
        <v>0</v>
      </c>
      <c r="M107" s="49" t="s">
        <v>369</v>
      </c>
      <c r="Z107" s="52">
        <f t="shared" si="52"/>
        <v>0</v>
      </c>
      <c r="AB107" s="52">
        <f t="shared" si="53"/>
        <v>0</v>
      </c>
      <c r="AC107" s="52">
        <f t="shared" si="54"/>
        <v>0</v>
      </c>
      <c r="AD107" s="52">
        <f t="shared" si="55"/>
        <v>0</v>
      </c>
      <c r="AE107" s="52">
        <f t="shared" si="56"/>
        <v>0</v>
      </c>
      <c r="AF107" s="52">
        <f t="shared" si="57"/>
        <v>0</v>
      </c>
      <c r="AG107" s="52">
        <f t="shared" si="58"/>
        <v>0</v>
      </c>
      <c r="AH107" s="52">
        <f t="shared" si="59"/>
        <v>0</v>
      </c>
      <c r="AI107" s="45"/>
      <c r="AJ107" s="3">
        <f t="shared" si="60"/>
        <v>0</v>
      </c>
      <c r="AK107" s="3">
        <f t="shared" si="61"/>
        <v>0</v>
      </c>
      <c r="AL107" s="3">
        <f t="shared" si="62"/>
        <v>0</v>
      </c>
      <c r="AN107" s="52">
        <v>21</v>
      </c>
      <c r="AO107" s="52">
        <f t="shared" si="63"/>
        <v>0</v>
      </c>
      <c r="AP107" s="52">
        <f t="shared" si="64"/>
        <v>0</v>
      </c>
      <c r="AQ107" s="49" t="s">
        <v>11</v>
      </c>
      <c r="AV107" s="52">
        <f t="shared" si="65"/>
        <v>0</v>
      </c>
      <c r="AW107" s="52">
        <f t="shared" si="66"/>
        <v>0</v>
      </c>
      <c r="AX107" s="52">
        <f t="shared" si="67"/>
        <v>0</v>
      </c>
      <c r="AY107" s="53" t="s">
        <v>408</v>
      </c>
      <c r="AZ107" s="53" t="s">
        <v>418</v>
      </c>
      <c r="BA107" s="45" t="s">
        <v>420</v>
      </c>
      <c r="BC107" s="52">
        <f t="shared" si="68"/>
        <v>0</v>
      </c>
      <c r="BD107" s="52">
        <f t="shared" si="69"/>
        <v>0</v>
      </c>
      <c r="BE107" s="52">
        <v>0</v>
      </c>
      <c r="BF107" s="52">
        <f t="shared" si="70"/>
        <v>0</v>
      </c>
      <c r="BH107" s="3">
        <f t="shared" si="71"/>
        <v>0</v>
      </c>
      <c r="BI107" s="3">
        <f t="shared" si="72"/>
        <v>0</v>
      </c>
      <c r="BJ107" s="3">
        <f t="shared" si="73"/>
        <v>0</v>
      </c>
    </row>
    <row r="108" spans="1:62" ht="12.75">
      <c r="A108" s="1" t="s">
        <v>75</v>
      </c>
      <c r="B108" s="1"/>
      <c r="C108" s="1" t="s">
        <v>175</v>
      </c>
      <c r="D108" s="1" t="s">
        <v>275</v>
      </c>
      <c r="E108" s="1" t="s">
        <v>296</v>
      </c>
      <c r="F108" s="3">
        <f>'Rozpočet - vybrané sloupce'!AR107</f>
        <v>37.0846</v>
      </c>
      <c r="G108" s="3">
        <f>'Rozpočet - vybrané sloupce'!AW107</f>
        <v>0</v>
      </c>
      <c r="H108" s="3">
        <f t="shared" si="48"/>
        <v>0</v>
      </c>
      <c r="I108" s="3">
        <f t="shared" si="49"/>
        <v>0</v>
      </c>
      <c r="J108" s="3">
        <f t="shared" si="50"/>
        <v>0</v>
      </c>
      <c r="K108" s="3">
        <v>0</v>
      </c>
      <c r="L108" s="3">
        <f t="shared" si="51"/>
        <v>0</v>
      </c>
      <c r="M108" s="49" t="s">
        <v>369</v>
      </c>
      <c r="Z108" s="52">
        <f t="shared" si="52"/>
        <v>0</v>
      </c>
      <c r="AB108" s="52">
        <f t="shared" si="53"/>
        <v>0</v>
      </c>
      <c r="AC108" s="52">
        <f t="shared" si="54"/>
        <v>0</v>
      </c>
      <c r="AD108" s="52">
        <f t="shared" si="55"/>
        <v>0</v>
      </c>
      <c r="AE108" s="52">
        <f t="shared" si="56"/>
        <v>0</v>
      </c>
      <c r="AF108" s="52">
        <f t="shared" si="57"/>
        <v>0</v>
      </c>
      <c r="AG108" s="52">
        <f t="shared" si="58"/>
        <v>0</v>
      </c>
      <c r="AH108" s="52">
        <f t="shared" si="59"/>
        <v>0</v>
      </c>
      <c r="AI108" s="45"/>
      <c r="AJ108" s="3">
        <f t="shared" si="60"/>
        <v>0</v>
      </c>
      <c r="AK108" s="3">
        <f t="shared" si="61"/>
        <v>0</v>
      </c>
      <c r="AL108" s="3">
        <f t="shared" si="62"/>
        <v>0</v>
      </c>
      <c r="AN108" s="52">
        <v>21</v>
      </c>
      <c r="AO108" s="52">
        <f t="shared" si="63"/>
        <v>0</v>
      </c>
      <c r="AP108" s="52">
        <f t="shared" si="64"/>
        <v>0</v>
      </c>
      <c r="AQ108" s="49" t="s">
        <v>11</v>
      </c>
      <c r="AV108" s="52">
        <f t="shared" si="65"/>
        <v>0</v>
      </c>
      <c r="AW108" s="52">
        <f t="shared" si="66"/>
        <v>0</v>
      </c>
      <c r="AX108" s="52">
        <f t="shared" si="67"/>
        <v>0</v>
      </c>
      <c r="AY108" s="53" t="s">
        <v>408</v>
      </c>
      <c r="AZ108" s="53" t="s">
        <v>418</v>
      </c>
      <c r="BA108" s="45" t="s">
        <v>420</v>
      </c>
      <c r="BC108" s="52">
        <f t="shared" si="68"/>
        <v>0</v>
      </c>
      <c r="BD108" s="52">
        <f t="shared" si="69"/>
        <v>0</v>
      </c>
      <c r="BE108" s="52">
        <v>0</v>
      </c>
      <c r="BF108" s="52">
        <f t="shared" si="70"/>
        <v>0</v>
      </c>
      <c r="BH108" s="3">
        <f t="shared" si="71"/>
        <v>0</v>
      </c>
      <c r="BI108" s="3">
        <f t="shared" si="72"/>
        <v>0</v>
      </c>
      <c r="BJ108" s="3">
        <f t="shared" si="73"/>
        <v>0</v>
      </c>
    </row>
    <row r="109" spans="1:62" ht="12.75">
      <c r="A109" s="1" t="s">
        <v>76</v>
      </c>
      <c r="B109" s="1"/>
      <c r="C109" s="1" t="s">
        <v>176</v>
      </c>
      <c r="D109" s="1" t="s">
        <v>276</v>
      </c>
      <c r="E109" s="1" t="s">
        <v>296</v>
      </c>
      <c r="F109" s="3">
        <f>'Rozpočet - vybrané sloupce'!AR108</f>
        <v>7.41692</v>
      </c>
      <c r="G109" s="3">
        <f>'Rozpočet - vybrané sloupce'!AW108</f>
        <v>0</v>
      </c>
      <c r="H109" s="3">
        <f t="shared" si="48"/>
        <v>0</v>
      </c>
      <c r="I109" s="3">
        <f t="shared" si="49"/>
        <v>0</v>
      </c>
      <c r="J109" s="3">
        <f t="shared" si="50"/>
        <v>0</v>
      </c>
      <c r="K109" s="3">
        <v>0</v>
      </c>
      <c r="L109" s="3">
        <f t="shared" si="51"/>
        <v>0</v>
      </c>
      <c r="M109" s="49" t="s">
        <v>369</v>
      </c>
      <c r="Z109" s="52">
        <f t="shared" si="52"/>
        <v>0</v>
      </c>
      <c r="AB109" s="52">
        <f t="shared" si="53"/>
        <v>0</v>
      </c>
      <c r="AC109" s="52">
        <f t="shared" si="54"/>
        <v>0</v>
      </c>
      <c r="AD109" s="52">
        <f t="shared" si="55"/>
        <v>0</v>
      </c>
      <c r="AE109" s="52">
        <f t="shared" si="56"/>
        <v>0</v>
      </c>
      <c r="AF109" s="52">
        <f t="shared" si="57"/>
        <v>0</v>
      </c>
      <c r="AG109" s="52">
        <f t="shared" si="58"/>
        <v>0</v>
      </c>
      <c r="AH109" s="52">
        <f t="shared" si="59"/>
        <v>0</v>
      </c>
      <c r="AI109" s="45"/>
      <c r="AJ109" s="3">
        <f t="shared" si="60"/>
        <v>0</v>
      </c>
      <c r="AK109" s="3">
        <f t="shared" si="61"/>
        <v>0</v>
      </c>
      <c r="AL109" s="3">
        <f t="shared" si="62"/>
        <v>0</v>
      </c>
      <c r="AN109" s="52">
        <v>21</v>
      </c>
      <c r="AO109" s="52">
        <f t="shared" si="63"/>
        <v>0</v>
      </c>
      <c r="AP109" s="52">
        <f t="shared" si="64"/>
        <v>0</v>
      </c>
      <c r="AQ109" s="49" t="s">
        <v>11</v>
      </c>
      <c r="AV109" s="52">
        <f t="shared" si="65"/>
        <v>0</v>
      </c>
      <c r="AW109" s="52">
        <f t="shared" si="66"/>
        <v>0</v>
      </c>
      <c r="AX109" s="52">
        <f t="shared" si="67"/>
        <v>0</v>
      </c>
      <c r="AY109" s="53" t="s">
        <v>408</v>
      </c>
      <c r="AZ109" s="53" t="s">
        <v>418</v>
      </c>
      <c r="BA109" s="45" t="s">
        <v>420</v>
      </c>
      <c r="BC109" s="52">
        <f t="shared" si="68"/>
        <v>0</v>
      </c>
      <c r="BD109" s="52">
        <f t="shared" si="69"/>
        <v>0</v>
      </c>
      <c r="BE109" s="52">
        <v>0</v>
      </c>
      <c r="BF109" s="52">
        <f t="shared" si="70"/>
        <v>0</v>
      </c>
      <c r="BH109" s="3">
        <f t="shared" si="71"/>
        <v>0</v>
      </c>
      <c r="BI109" s="3">
        <f t="shared" si="72"/>
        <v>0</v>
      </c>
      <c r="BJ109" s="3">
        <f t="shared" si="73"/>
        <v>0</v>
      </c>
    </row>
    <row r="110" spans="1:47" ht="12.75">
      <c r="A110" s="30"/>
      <c r="B110" s="36"/>
      <c r="C110" s="36"/>
      <c r="D110" s="36" t="s">
        <v>277</v>
      </c>
      <c r="E110" s="30" t="s">
        <v>6</v>
      </c>
      <c r="F110" s="30" t="s">
        <v>6</v>
      </c>
      <c r="G110" s="30" t="s">
        <v>6</v>
      </c>
      <c r="H110" s="6">
        <f>SUM(H111:H117)</f>
        <v>0</v>
      </c>
      <c r="I110" s="6">
        <f>SUM(I111:I117)</f>
        <v>0</v>
      </c>
      <c r="J110" s="6">
        <f>SUM(J111:J117)</f>
        <v>0</v>
      </c>
      <c r="K110" s="45"/>
      <c r="L110" s="6">
        <f>SUM(L111:L117)</f>
        <v>1.24115</v>
      </c>
      <c r="M110" s="45"/>
      <c r="AI110" s="45"/>
      <c r="AS110" s="6">
        <f>SUM(AJ111:AJ117)</f>
        <v>0</v>
      </c>
      <c r="AT110" s="6">
        <f>SUM(AK111:AK117)</f>
        <v>0</v>
      </c>
      <c r="AU110" s="6">
        <f>SUM(AL111:AL117)</f>
        <v>0</v>
      </c>
    </row>
    <row r="111" spans="1:62" ht="12.75">
      <c r="A111" s="2" t="s">
        <v>77</v>
      </c>
      <c r="B111" s="2"/>
      <c r="C111" s="2" t="s">
        <v>177</v>
      </c>
      <c r="D111" s="2" t="s">
        <v>278</v>
      </c>
      <c r="E111" s="2" t="s">
        <v>291</v>
      </c>
      <c r="F111" s="4">
        <f>'Rozpočet - vybrané sloupce'!AR110</f>
        <v>73</v>
      </c>
      <c r="G111" s="4">
        <f>'Rozpočet - vybrané sloupce'!AW110</f>
        <v>0</v>
      </c>
      <c r="H111" s="4">
        <f aca="true" t="shared" si="74" ref="H111:H117">F111*AO111</f>
        <v>0</v>
      </c>
      <c r="I111" s="4">
        <f aca="true" t="shared" si="75" ref="I111:I117">F111*AP111</f>
        <v>0</v>
      </c>
      <c r="J111" s="4">
        <f aca="true" t="shared" si="76" ref="J111:J117">F111*G111</f>
        <v>0</v>
      </c>
      <c r="K111" s="4">
        <v>0.0105</v>
      </c>
      <c r="L111" s="4">
        <f aca="true" t="shared" si="77" ref="L111:L117">F111*K111</f>
        <v>0.7665000000000001</v>
      </c>
      <c r="M111" s="50" t="s">
        <v>370</v>
      </c>
      <c r="Z111" s="52">
        <f aca="true" t="shared" si="78" ref="Z111:Z117">IF(AQ111="5",BJ111,0)</f>
        <v>0</v>
      </c>
      <c r="AB111" s="52">
        <f aca="true" t="shared" si="79" ref="AB111:AB117">IF(AQ111="1",BH111,0)</f>
        <v>0</v>
      </c>
      <c r="AC111" s="52">
        <f aca="true" t="shared" si="80" ref="AC111:AC117">IF(AQ111="1",BI111,0)</f>
        <v>0</v>
      </c>
      <c r="AD111" s="52">
        <f aca="true" t="shared" si="81" ref="AD111:AD117">IF(AQ111="7",BH111,0)</f>
        <v>0</v>
      </c>
      <c r="AE111" s="52">
        <f aca="true" t="shared" si="82" ref="AE111:AE117">IF(AQ111="7",BI111,0)</f>
        <v>0</v>
      </c>
      <c r="AF111" s="52">
        <f aca="true" t="shared" si="83" ref="AF111:AF117">IF(AQ111="2",BH111,0)</f>
        <v>0</v>
      </c>
      <c r="AG111" s="52">
        <f aca="true" t="shared" si="84" ref="AG111:AG117">IF(AQ111="2",BI111,0)</f>
        <v>0</v>
      </c>
      <c r="AH111" s="52">
        <f aca="true" t="shared" si="85" ref="AH111:AH117">IF(AQ111="0",BJ111,0)</f>
        <v>0</v>
      </c>
      <c r="AI111" s="45"/>
      <c r="AJ111" s="4">
        <f aca="true" t="shared" si="86" ref="AJ111:AJ117">IF(AN111=0,J111,0)</f>
        <v>0</v>
      </c>
      <c r="AK111" s="4">
        <f aca="true" t="shared" si="87" ref="AK111:AK117">IF(AN111=15,J111,0)</f>
        <v>0</v>
      </c>
      <c r="AL111" s="4">
        <f aca="true" t="shared" si="88" ref="AL111:AL117">IF(AN111=21,J111,0)</f>
        <v>0</v>
      </c>
      <c r="AN111" s="52">
        <v>21</v>
      </c>
      <c r="AO111" s="52">
        <f aca="true" t="shared" si="89" ref="AO111:AO117">G111*1</f>
        <v>0</v>
      </c>
      <c r="AP111" s="52">
        <f aca="true" t="shared" si="90" ref="AP111:AP117">G111*(1-1)</f>
        <v>0</v>
      </c>
      <c r="AQ111" s="50" t="s">
        <v>380</v>
      </c>
      <c r="AV111" s="52">
        <f aca="true" t="shared" si="91" ref="AV111:AV117">AW111+AX111</f>
        <v>0</v>
      </c>
      <c r="AW111" s="52">
        <f aca="true" t="shared" si="92" ref="AW111:AW117">F111*AO111</f>
        <v>0</v>
      </c>
      <c r="AX111" s="52">
        <f aca="true" t="shared" si="93" ref="AX111:AX117">F111*AP111</f>
        <v>0</v>
      </c>
      <c r="AY111" s="53" t="s">
        <v>409</v>
      </c>
      <c r="AZ111" s="53" t="s">
        <v>419</v>
      </c>
      <c r="BA111" s="45" t="s">
        <v>420</v>
      </c>
      <c r="BC111" s="52">
        <f aca="true" t="shared" si="94" ref="BC111:BC117">AW111+AX111</f>
        <v>0</v>
      </c>
      <c r="BD111" s="52">
        <f aca="true" t="shared" si="95" ref="BD111:BD117">G111/(100-BE111)*100</f>
        <v>0</v>
      </c>
      <c r="BE111" s="52">
        <v>0</v>
      </c>
      <c r="BF111" s="52">
        <f aca="true" t="shared" si="96" ref="BF111:BF117">L111</f>
        <v>0.7665000000000001</v>
      </c>
      <c r="BH111" s="4">
        <f aca="true" t="shared" si="97" ref="BH111:BH117">F111*AO111</f>
        <v>0</v>
      </c>
      <c r="BI111" s="4">
        <f aca="true" t="shared" si="98" ref="BI111:BI117">F111*AP111</f>
        <v>0</v>
      </c>
      <c r="BJ111" s="4">
        <f aca="true" t="shared" si="99" ref="BJ111:BJ117">F111*G111</f>
        <v>0</v>
      </c>
    </row>
    <row r="112" spans="1:62" ht="12.75">
      <c r="A112" s="2" t="s">
        <v>78</v>
      </c>
      <c r="B112" s="2"/>
      <c r="C112" s="2" t="s">
        <v>178</v>
      </c>
      <c r="D112" s="2" t="s">
        <v>279</v>
      </c>
      <c r="E112" s="2" t="s">
        <v>291</v>
      </c>
      <c r="F112" s="4">
        <f>'Rozpočet - vybrané sloupce'!AR111</f>
        <v>19</v>
      </c>
      <c r="G112" s="4">
        <f>'Rozpočet - vybrané sloupce'!AW111</f>
        <v>0</v>
      </c>
      <c r="H112" s="4">
        <f t="shared" si="74"/>
        <v>0</v>
      </c>
      <c r="I112" s="4">
        <f t="shared" si="75"/>
        <v>0</v>
      </c>
      <c r="J112" s="4">
        <f t="shared" si="76"/>
        <v>0</v>
      </c>
      <c r="K112" s="4">
        <v>0.0192</v>
      </c>
      <c r="L112" s="4">
        <f t="shared" si="77"/>
        <v>0.36479999999999996</v>
      </c>
      <c r="M112" s="50" t="s">
        <v>370</v>
      </c>
      <c r="Z112" s="52">
        <f t="shared" si="78"/>
        <v>0</v>
      </c>
      <c r="AB112" s="52">
        <f t="shared" si="79"/>
        <v>0</v>
      </c>
      <c r="AC112" s="52">
        <f t="shared" si="80"/>
        <v>0</v>
      </c>
      <c r="AD112" s="52">
        <f t="shared" si="81"/>
        <v>0</v>
      </c>
      <c r="AE112" s="52">
        <f t="shared" si="82"/>
        <v>0</v>
      </c>
      <c r="AF112" s="52">
        <f t="shared" si="83"/>
        <v>0</v>
      </c>
      <c r="AG112" s="52">
        <f t="shared" si="84"/>
        <v>0</v>
      </c>
      <c r="AH112" s="52">
        <f t="shared" si="85"/>
        <v>0</v>
      </c>
      <c r="AI112" s="45"/>
      <c r="AJ112" s="4">
        <f t="shared" si="86"/>
        <v>0</v>
      </c>
      <c r="AK112" s="4">
        <f t="shared" si="87"/>
        <v>0</v>
      </c>
      <c r="AL112" s="4">
        <f t="shared" si="88"/>
        <v>0</v>
      </c>
      <c r="AN112" s="52">
        <v>21</v>
      </c>
      <c r="AO112" s="52">
        <f t="shared" si="89"/>
        <v>0</v>
      </c>
      <c r="AP112" s="52">
        <f t="shared" si="90"/>
        <v>0</v>
      </c>
      <c r="AQ112" s="50" t="s">
        <v>380</v>
      </c>
      <c r="AV112" s="52">
        <f t="shared" si="91"/>
        <v>0</v>
      </c>
      <c r="AW112" s="52">
        <f t="shared" si="92"/>
        <v>0</v>
      </c>
      <c r="AX112" s="52">
        <f t="shared" si="93"/>
        <v>0</v>
      </c>
      <c r="AY112" s="53" t="s">
        <v>409</v>
      </c>
      <c r="AZ112" s="53" t="s">
        <v>419</v>
      </c>
      <c r="BA112" s="45" t="s">
        <v>420</v>
      </c>
      <c r="BC112" s="52">
        <f t="shared" si="94"/>
        <v>0</v>
      </c>
      <c r="BD112" s="52">
        <f t="shared" si="95"/>
        <v>0</v>
      </c>
      <c r="BE112" s="52">
        <v>0</v>
      </c>
      <c r="BF112" s="52">
        <f t="shared" si="96"/>
        <v>0.36479999999999996</v>
      </c>
      <c r="BH112" s="4">
        <f t="shared" si="97"/>
        <v>0</v>
      </c>
      <c r="BI112" s="4">
        <f t="shared" si="98"/>
        <v>0</v>
      </c>
      <c r="BJ112" s="4">
        <f t="shared" si="99"/>
        <v>0</v>
      </c>
    </row>
    <row r="113" spans="1:62" ht="12.75">
      <c r="A113" s="2" t="s">
        <v>79</v>
      </c>
      <c r="B113" s="2"/>
      <c r="C113" s="2" t="s">
        <v>179</v>
      </c>
      <c r="D113" s="2" t="s">
        <v>280</v>
      </c>
      <c r="E113" s="2" t="s">
        <v>290</v>
      </c>
      <c r="F113" s="4">
        <f>'Rozpočet - vybrané sloupce'!AR112</f>
        <v>3</v>
      </c>
      <c r="G113" s="4">
        <f>'Rozpočet - vybrané sloupce'!AW112</f>
        <v>0</v>
      </c>
      <c r="H113" s="4">
        <f t="shared" si="74"/>
        <v>0</v>
      </c>
      <c r="I113" s="4">
        <f t="shared" si="75"/>
        <v>0</v>
      </c>
      <c r="J113" s="4">
        <f t="shared" si="76"/>
        <v>0</v>
      </c>
      <c r="K113" s="4">
        <v>0.02</v>
      </c>
      <c r="L113" s="4">
        <f t="shared" si="77"/>
        <v>0.06</v>
      </c>
      <c r="M113" s="50" t="s">
        <v>369</v>
      </c>
      <c r="Z113" s="52">
        <f t="shared" si="78"/>
        <v>0</v>
      </c>
      <c r="AB113" s="52">
        <f t="shared" si="79"/>
        <v>0</v>
      </c>
      <c r="AC113" s="52">
        <f t="shared" si="80"/>
        <v>0</v>
      </c>
      <c r="AD113" s="52">
        <f t="shared" si="81"/>
        <v>0</v>
      </c>
      <c r="AE113" s="52">
        <f t="shared" si="82"/>
        <v>0</v>
      </c>
      <c r="AF113" s="52">
        <f t="shared" si="83"/>
        <v>0</v>
      </c>
      <c r="AG113" s="52">
        <f t="shared" si="84"/>
        <v>0</v>
      </c>
      <c r="AH113" s="52">
        <f t="shared" si="85"/>
        <v>0</v>
      </c>
      <c r="AI113" s="45"/>
      <c r="AJ113" s="4">
        <f t="shared" si="86"/>
        <v>0</v>
      </c>
      <c r="AK113" s="4">
        <f t="shared" si="87"/>
        <v>0</v>
      </c>
      <c r="AL113" s="4">
        <f t="shared" si="88"/>
        <v>0</v>
      </c>
      <c r="AN113" s="52">
        <v>21</v>
      </c>
      <c r="AO113" s="52">
        <f t="shared" si="89"/>
        <v>0</v>
      </c>
      <c r="AP113" s="52">
        <f t="shared" si="90"/>
        <v>0</v>
      </c>
      <c r="AQ113" s="50" t="s">
        <v>380</v>
      </c>
      <c r="AV113" s="52">
        <f t="shared" si="91"/>
        <v>0</v>
      </c>
      <c r="AW113" s="52">
        <f t="shared" si="92"/>
        <v>0</v>
      </c>
      <c r="AX113" s="52">
        <f t="shared" si="93"/>
        <v>0</v>
      </c>
      <c r="AY113" s="53" t="s">
        <v>409</v>
      </c>
      <c r="AZ113" s="53" t="s">
        <v>419</v>
      </c>
      <c r="BA113" s="45" t="s">
        <v>420</v>
      </c>
      <c r="BC113" s="52">
        <f t="shared" si="94"/>
        <v>0</v>
      </c>
      <c r="BD113" s="52">
        <f t="shared" si="95"/>
        <v>0</v>
      </c>
      <c r="BE113" s="52">
        <v>0</v>
      </c>
      <c r="BF113" s="52">
        <f t="shared" si="96"/>
        <v>0.06</v>
      </c>
      <c r="BH113" s="4">
        <f t="shared" si="97"/>
        <v>0</v>
      </c>
      <c r="BI113" s="4">
        <f t="shared" si="98"/>
        <v>0</v>
      </c>
      <c r="BJ113" s="4">
        <f t="shared" si="99"/>
        <v>0</v>
      </c>
    </row>
    <row r="114" spans="1:62" ht="12.75">
      <c r="A114" s="2" t="s">
        <v>80</v>
      </c>
      <c r="B114" s="2"/>
      <c r="C114" s="2" t="s">
        <v>180</v>
      </c>
      <c r="D114" s="2" t="s">
        <v>281</v>
      </c>
      <c r="E114" s="2" t="s">
        <v>290</v>
      </c>
      <c r="F114" s="4">
        <f>'Rozpočet - vybrané sloupce'!AR113</f>
        <v>1</v>
      </c>
      <c r="G114" s="4">
        <f>'Rozpočet - vybrané sloupce'!AW113</f>
        <v>0</v>
      </c>
      <c r="H114" s="4">
        <f t="shared" si="74"/>
        <v>0</v>
      </c>
      <c r="I114" s="4">
        <f t="shared" si="75"/>
        <v>0</v>
      </c>
      <c r="J114" s="4">
        <f t="shared" si="76"/>
        <v>0</v>
      </c>
      <c r="K114" s="4">
        <v>0.022</v>
      </c>
      <c r="L114" s="4">
        <f t="shared" si="77"/>
        <v>0.022</v>
      </c>
      <c r="M114" s="50" t="s">
        <v>369</v>
      </c>
      <c r="Z114" s="52">
        <f t="shared" si="78"/>
        <v>0</v>
      </c>
      <c r="AB114" s="52">
        <f t="shared" si="79"/>
        <v>0</v>
      </c>
      <c r="AC114" s="52">
        <f t="shared" si="80"/>
        <v>0</v>
      </c>
      <c r="AD114" s="52">
        <f t="shared" si="81"/>
        <v>0</v>
      </c>
      <c r="AE114" s="52">
        <f t="shared" si="82"/>
        <v>0</v>
      </c>
      <c r="AF114" s="52">
        <f t="shared" si="83"/>
        <v>0</v>
      </c>
      <c r="AG114" s="52">
        <f t="shared" si="84"/>
        <v>0</v>
      </c>
      <c r="AH114" s="52">
        <f t="shared" si="85"/>
        <v>0</v>
      </c>
      <c r="AI114" s="45"/>
      <c r="AJ114" s="4">
        <f t="shared" si="86"/>
        <v>0</v>
      </c>
      <c r="AK114" s="4">
        <f t="shared" si="87"/>
        <v>0</v>
      </c>
      <c r="AL114" s="4">
        <f t="shared" si="88"/>
        <v>0</v>
      </c>
      <c r="AN114" s="52">
        <v>21</v>
      </c>
      <c r="AO114" s="52">
        <f t="shared" si="89"/>
        <v>0</v>
      </c>
      <c r="AP114" s="52">
        <f t="shared" si="90"/>
        <v>0</v>
      </c>
      <c r="AQ114" s="50" t="s">
        <v>380</v>
      </c>
      <c r="AV114" s="52">
        <f t="shared" si="91"/>
        <v>0</v>
      </c>
      <c r="AW114" s="52">
        <f t="shared" si="92"/>
        <v>0</v>
      </c>
      <c r="AX114" s="52">
        <f t="shared" si="93"/>
        <v>0</v>
      </c>
      <c r="AY114" s="53" t="s">
        <v>409</v>
      </c>
      <c r="AZ114" s="53" t="s">
        <v>419</v>
      </c>
      <c r="BA114" s="45" t="s">
        <v>420</v>
      </c>
      <c r="BC114" s="52">
        <f t="shared" si="94"/>
        <v>0</v>
      </c>
      <c r="BD114" s="52">
        <f t="shared" si="95"/>
        <v>0</v>
      </c>
      <c r="BE114" s="52">
        <v>0</v>
      </c>
      <c r="BF114" s="52">
        <f t="shared" si="96"/>
        <v>0.022</v>
      </c>
      <c r="BH114" s="4">
        <f t="shared" si="97"/>
        <v>0</v>
      </c>
      <c r="BI114" s="4">
        <f t="shared" si="98"/>
        <v>0</v>
      </c>
      <c r="BJ114" s="4">
        <f t="shared" si="99"/>
        <v>0</v>
      </c>
    </row>
    <row r="115" spans="1:62" ht="12.75">
      <c r="A115" s="2" t="s">
        <v>81</v>
      </c>
      <c r="B115" s="2"/>
      <c r="C115" s="2" t="s">
        <v>181</v>
      </c>
      <c r="D115" s="2" t="s">
        <v>282</v>
      </c>
      <c r="E115" s="2" t="s">
        <v>290</v>
      </c>
      <c r="F115" s="4">
        <f>'Rozpočet - vybrané sloupce'!AR114</f>
        <v>5</v>
      </c>
      <c r="G115" s="4">
        <f>'Rozpočet - vybrané sloupce'!AW114</f>
        <v>0</v>
      </c>
      <c r="H115" s="4">
        <f t="shared" si="74"/>
        <v>0</v>
      </c>
      <c r="I115" s="4">
        <f t="shared" si="75"/>
        <v>0</v>
      </c>
      <c r="J115" s="4">
        <f t="shared" si="76"/>
        <v>0</v>
      </c>
      <c r="K115" s="4">
        <v>0.00075</v>
      </c>
      <c r="L115" s="4">
        <f t="shared" si="77"/>
        <v>0.00375</v>
      </c>
      <c r="M115" s="50" t="s">
        <v>369</v>
      </c>
      <c r="Z115" s="52">
        <f t="shared" si="78"/>
        <v>0</v>
      </c>
      <c r="AB115" s="52">
        <f t="shared" si="79"/>
        <v>0</v>
      </c>
      <c r="AC115" s="52">
        <f t="shared" si="80"/>
        <v>0</v>
      </c>
      <c r="AD115" s="52">
        <f t="shared" si="81"/>
        <v>0</v>
      </c>
      <c r="AE115" s="52">
        <f t="shared" si="82"/>
        <v>0</v>
      </c>
      <c r="AF115" s="52">
        <f t="shared" si="83"/>
        <v>0</v>
      </c>
      <c r="AG115" s="52">
        <f t="shared" si="84"/>
        <v>0</v>
      </c>
      <c r="AH115" s="52">
        <f t="shared" si="85"/>
        <v>0</v>
      </c>
      <c r="AI115" s="45"/>
      <c r="AJ115" s="4">
        <f t="shared" si="86"/>
        <v>0</v>
      </c>
      <c r="AK115" s="4">
        <f t="shared" si="87"/>
        <v>0</v>
      </c>
      <c r="AL115" s="4">
        <f t="shared" si="88"/>
        <v>0</v>
      </c>
      <c r="AN115" s="52">
        <v>21</v>
      </c>
      <c r="AO115" s="52">
        <f t="shared" si="89"/>
        <v>0</v>
      </c>
      <c r="AP115" s="52">
        <f t="shared" si="90"/>
        <v>0</v>
      </c>
      <c r="AQ115" s="50" t="s">
        <v>380</v>
      </c>
      <c r="AV115" s="52">
        <f t="shared" si="91"/>
        <v>0</v>
      </c>
      <c r="AW115" s="52">
        <f t="shared" si="92"/>
        <v>0</v>
      </c>
      <c r="AX115" s="52">
        <f t="shared" si="93"/>
        <v>0</v>
      </c>
      <c r="AY115" s="53" t="s">
        <v>409</v>
      </c>
      <c r="AZ115" s="53" t="s">
        <v>419</v>
      </c>
      <c r="BA115" s="45" t="s">
        <v>420</v>
      </c>
      <c r="BC115" s="52">
        <f t="shared" si="94"/>
        <v>0</v>
      </c>
      <c r="BD115" s="52">
        <f t="shared" si="95"/>
        <v>0</v>
      </c>
      <c r="BE115" s="52">
        <v>0</v>
      </c>
      <c r="BF115" s="52">
        <f t="shared" si="96"/>
        <v>0.00375</v>
      </c>
      <c r="BH115" s="4">
        <f t="shared" si="97"/>
        <v>0</v>
      </c>
      <c r="BI115" s="4">
        <f t="shared" si="98"/>
        <v>0</v>
      </c>
      <c r="BJ115" s="4">
        <f t="shared" si="99"/>
        <v>0</v>
      </c>
    </row>
    <row r="116" spans="1:62" ht="12.75">
      <c r="A116" s="2" t="s">
        <v>82</v>
      </c>
      <c r="B116" s="2"/>
      <c r="C116" s="2" t="s">
        <v>182</v>
      </c>
      <c r="D116" s="2" t="s">
        <v>283</v>
      </c>
      <c r="E116" s="2" t="s">
        <v>290</v>
      </c>
      <c r="F116" s="4">
        <f>'Rozpočet - vybrané sloupce'!AR115</f>
        <v>2</v>
      </c>
      <c r="G116" s="4">
        <f>'Rozpočet - vybrané sloupce'!AW115</f>
        <v>0</v>
      </c>
      <c r="H116" s="4">
        <f t="shared" si="74"/>
        <v>0</v>
      </c>
      <c r="I116" s="4">
        <f t="shared" si="75"/>
        <v>0</v>
      </c>
      <c r="J116" s="4">
        <f t="shared" si="76"/>
        <v>0</v>
      </c>
      <c r="K116" s="4">
        <v>0.0013</v>
      </c>
      <c r="L116" s="4">
        <f t="shared" si="77"/>
        <v>0.0026</v>
      </c>
      <c r="M116" s="50" t="s">
        <v>369</v>
      </c>
      <c r="Z116" s="52">
        <f t="shared" si="78"/>
        <v>0</v>
      </c>
      <c r="AB116" s="52">
        <f t="shared" si="79"/>
        <v>0</v>
      </c>
      <c r="AC116" s="52">
        <f t="shared" si="80"/>
        <v>0</v>
      </c>
      <c r="AD116" s="52">
        <f t="shared" si="81"/>
        <v>0</v>
      </c>
      <c r="AE116" s="52">
        <f t="shared" si="82"/>
        <v>0</v>
      </c>
      <c r="AF116" s="52">
        <f t="shared" si="83"/>
        <v>0</v>
      </c>
      <c r="AG116" s="52">
        <f t="shared" si="84"/>
        <v>0</v>
      </c>
      <c r="AH116" s="52">
        <f t="shared" si="85"/>
        <v>0</v>
      </c>
      <c r="AI116" s="45"/>
      <c r="AJ116" s="4">
        <f t="shared" si="86"/>
        <v>0</v>
      </c>
      <c r="AK116" s="4">
        <f t="shared" si="87"/>
        <v>0</v>
      </c>
      <c r="AL116" s="4">
        <f t="shared" si="88"/>
        <v>0</v>
      </c>
      <c r="AN116" s="52">
        <v>21</v>
      </c>
      <c r="AO116" s="52">
        <f t="shared" si="89"/>
        <v>0</v>
      </c>
      <c r="AP116" s="52">
        <f t="shared" si="90"/>
        <v>0</v>
      </c>
      <c r="AQ116" s="50" t="s">
        <v>380</v>
      </c>
      <c r="AV116" s="52">
        <f t="shared" si="91"/>
        <v>0</v>
      </c>
      <c r="AW116" s="52">
        <f t="shared" si="92"/>
        <v>0</v>
      </c>
      <c r="AX116" s="52">
        <f t="shared" si="93"/>
        <v>0</v>
      </c>
      <c r="AY116" s="53" t="s">
        <v>409</v>
      </c>
      <c r="AZ116" s="53" t="s">
        <v>419</v>
      </c>
      <c r="BA116" s="45" t="s">
        <v>420</v>
      </c>
      <c r="BC116" s="52">
        <f t="shared" si="94"/>
        <v>0</v>
      </c>
      <c r="BD116" s="52">
        <f t="shared" si="95"/>
        <v>0</v>
      </c>
      <c r="BE116" s="52">
        <v>0</v>
      </c>
      <c r="BF116" s="52">
        <f t="shared" si="96"/>
        <v>0.0026</v>
      </c>
      <c r="BH116" s="4">
        <f t="shared" si="97"/>
        <v>0</v>
      </c>
      <c r="BI116" s="4">
        <f t="shared" si="98"/>
        <v>0</v>
      </c>
      <c r="BJ116" s="4">
        <f t="shared" si="99"/>
        <v>0</v>
      </c>
    </row>
    <row r="117" spans="1:62" ht="12.75">
      <c r="A117" s="31" t="s">
        <v>83</v>
      </c>
      <c r="B117" s="31"/>
      <c r="C117" s="31" t="s">
        <v>183</v>
      </c>
      <c r="D117" s="31" t="s">
        <v>284</v>
      </c>
      <c r="E117" s="31" t="s">
        <v>290</v>
      </c>
      <c r="F117" s="46">
        <f>'Rozpočet - vybrané sloupce'!AR116</f>
        <v>1</v>
      </c>
      <c r="G117" s="46">
        <f>'Rozpočet - vybrané sloupce'!AW116</f>
        <v>0</v>
      </c>
      <c r="H117" s="46">
        <f t="shared" si="74"/>
        <v>0</v>
      </c>
      <c r="I117" s="46">
        <f t="shared" si="75"/>
        <v>0</v>
      </c>
      <c r="J117" s="46">
        <f t="shared" si="76"/>
        <v>0</v>
      </c>
      <c r="K117" s="46">
        <v>0.0215</v>
      </c>
      <c r="L117" s="46">
        <f t="shared" si="77"/>
        <v>0.0215</v>
      </c>
      <c r="M117" s="51" t="s">
        <v>369</v>
      </c>
      <c r="Z117" s="52">
        <f t="shared" si="78"/>
        <v>0</v>
      </c>
      <c r="AB117" s="52">
        <f t="shared" si="79"/>
        <v>0</v>
      </c>
      <c r="AC117" s="52">
        <f t="shared" si="80"/>
        <v>0</v>
      </c>
      <c r="AD117" s="52">
        <f t="shared" si="81"/>
        <v>0</v>
      </c>
      <c r="AE117" s="52">
        <f t="shared" si="82"/>
        <v>0</v>
      </c>
      <c r="AF117" s="52">
        <f t="shared" si="83"/>
        <v>0</v>
      </c>
      <c r="AG117" s="52">
        <f t="shared" si="84"/>
        <v>0</v>
      </c>
      <c r="AH117" s="52">
        <f t="shared" si="85"/>
        <v>0</v>
      </c>
      <c r="AI117" s="45"/>
      <c r="AJ117" s="4">
        <f t="shared" si="86"/>
        <v>0</v>
      </c>
      <c r="AK117" s="4">
        <f t="shared" si="87"/>
        <v>0</v>
      </c>
      <c r="AL117" s="4">
        <f t="shared" si="88"/>
        <v>0</v>
      </c>
      <c r="AN117" s="52">
        <v>21</v>
      </c>
      <c r="AO117" s="52">
        <f t="shared" si="89"/>
        <v>0</v>
      </c>
      <c r="AP117" s="52">
        <f t="shared" si="90"/>
        <v>0</v>
      </c>
      <c r="AQ117" s="50" t="s">
        <v>380</v>
      </c>
      <c r="AV117" s="52">
        <f t="shared" si="91"/>
        <v>0</v>
      </c>
      <c r="AW117" s="52">
        <f t="shared" si="92"/>
        <v>0</v>
      </c>
      <c r="AX117" s="52">
        <f t="shared" si="93"/>
        <v>0</v>
      </c>
      <c r="AY117" s="53" t="s">
        <v>409</v>
      </c>
      <c r="AZ117" s="53" t="s">
        <v>419</v>
      </c>
      <c r="BA117" s="45" t="s">
        <v>420</v>
      </c>
      <c r="BC117" s="52">
        <f t="shared" si="94"/>
        <v>0</v>
      </c>
      <c r="BD117" s="52">
        <f t="shared" si="95"/>
        <v>0</v>
      </c>
      <c r="BE117" s="52">
        <v>0</v>
      </c>
      <c r="BF117" s="52">
        <f t="shared" si="96"/>
        <v>0.0215</v>
      </c>
      <c r="BH117" s="4">
        <f t="shared" si="97"/>
        <v>0</v>
      </c>
      <c r="BI117" s="4">
        <f t="shared" si="98"/>
        <v>0</v>
      </c>
      <c r="BJ117" s="4">
        <f t="shared" si="99"/>
        <v>0</v>
      </c>
    </row>
    <row r="118" spans="1:13" ht="12.75">
      <c r="A118" s="13"/>
      <c r="B118" s="13"/>
      <c r="C118" s="13"/>
      <c r="D118" s="13"/>
      <c r="E118" s="13"/>
      <c r="F118" s="13"/>
      <c r="G118" s="13"/>
      <c r="H118" s="129" t="s">
        <v>303</v>
      </c>
      <c r="I118" s="99"/>
      <c r="J118" s="55">
        <f>J12+J15+J18+J20+J27+J29+J32+J38+J40+J48+J50+J55+J59+J63+J67+J69+J75+J77+J83+J86+J88+J90+J92+J94+J96+J98+J100+J103+J110</f>
        <v>0</v>
      </c>
      <c r="K118" s="13"/>
      <c r="L118" s="13"/>
      <c r="M118" s="13"/>
    </row>
    <row r="119" ht="11.25" customHeight="1">
      <c r="A119" s="32" t="s">
        <v>317</v>
      </c>
    </row>
    <row r="120" spans="1:13" ht="12.75">
      <c r="A120" s="89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118:I118"/>
    <mergeCell ref="A120:M120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2019-06-14T10:05:31Z</cp:lastPrinted>
  <dcterms:created xsi:type="dcterms:W3CDTF">2019-06-12T14:19:03Z</dcterms:created>
  <dcterms:modified xsi:type="dcterms:W3CDTF">2019-06-14T10:05:48Z</dcterms:modified>
  <cp:category/>
  <cp:version/>
  <cp:contentType/>
  <cp:contentStatus/>
</cp:coreProperties>
</file>