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<sst xmlns="http://schemas.openxmlformats.org/spreadsheetml/2006/main" count="548" uniqueCount="306">
  <si>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</si>
  <si>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</si>
  <si>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</si>
  <si>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</si>
  <si>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</si>
  <si>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</si>
  <si>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</si>
  <si>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</si>
  <si>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</si>
  <si>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</si>
  <si>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</si>
  <si>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</si>
  <si>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</si>
  <si>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</si>
  <si>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</si>
  <si>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</si>
  <si>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</si>
  <si>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</si>
  <si>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</si>
  <si>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</si>
  <si>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</si>
  <si>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</si>
  <si>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</si>
  <si>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</si>
  <si>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</si>
  <si>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</si>
  <si>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</si>
  <si>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</si>
  <si>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</si>
  <si>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</si>
  <si>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</si>
  <si>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</si>
  <si>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</si>
  <si>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</si>
  <si>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</si>
  <si>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</si>
  <si>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</si>
  <si>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</si>
  <si>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</si>
  <si>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</si>
  <si>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</si>
  <si>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</si>
  <si>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</si>
  <si>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</si>
  <si>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</si>
  <si>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</si>
  <si>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</si>
  <si>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</si>
  <si>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</si>
  <si>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</si>
  <si>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</si>
  <si>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</si>
  <si>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Poznámka:</t>
  </si>
  <si>
    <t>Objekt</t>
  </si>
  <si>
    <t>Kód</t>
  </si>
  <si>
    <t>342255024RT1</t>
  </si>
  <si>
    <t>342668111R00IM</t>
  </si>
  <si>
    <t>61</t>
  </si>
  <si>
    <t>612481211RT2</t>
  </si>
  <si>
    <t>612471411R00</t>
  </si>
  <si>
    <t>612401901R00</t>
  </si>
  <si>
    <t>64</t>
  </si>
  <si>
    <t>642942111R001</t>
  </si>
  <si>
    <t>767646510R00</t>
  </si>
  <si>
    <t>721</t>
  </si>
  <si>
    <t>721110209R00</t>
  </si>
  <si>
    <t>722</t>
  </si>
  <si>
    <t>722110811R00</t>
  </si>
  <si>
    <t>725</t>
  </si>
  <si>
    <t>725014161R00</t>
  </si>
  <si>
    <t>725015131R00</t>
  </si>
  <si>
    <t>735</t>
  </si>
  <si>
    <t>735151162R00</t>
  </si>
  <si>
    <t>766</t>
  </si>
  <si>
    <t>766111820R00</t>
  </si>
  <si>
    <t>766670021R00</t>
  </si>
  <si>
    <t>771</t>
  </si>
  <si>
    <t>771212113R00</t>
  </si>
  <si>
    <t>632415102R00</t>
  </si>
  <si>
    <t>771101210R00</t>
  </si>
  <si>
    <t>781</t>
  </si>
  <si>
    <t>781900010RA0</t>
  </si>
  <si>
    <t>781101111R00</t>
  </si>
  <si>
    <t>781230121R00</t>
  </si>
  <si>
    <t>783</t>
  </si>
  <si>
    <t>783001bIM</t>
  </si>
  <si>
    <t>784</t>
  </si>
  <si>
    <t>784161401R00IM</t>
  </si>
  <si>
    <t>784402801R00</t>
  </si>
  <si>
    <t>784442001RT2</t>
  </si>
  <si>
    <t>94</t>
  </si>
  <si>
    <t>941955001R00IM</t>
  </si>
  <si>
    <t>96</t>
  </si>
  <si>
    <t>962031132R00</t>
  </si>
  <si>
    <t>965042121R00</t>
  </si>
  <si>
    <t>965081713RT2</t>
  </si>
  <si>
    <t>965048150R00</t>
  </si>
  <si>
    <t>97</t>
  </si>
  <si>
    <t>973031346R00</t>
  </si>
  <si>
    <t>H01</t>
  </si>
  <si>
    <t>998011002R00</t>
  </si>
  <si>
    <t>M21</t>
  </si>
  <si>
    <t>210010063RT1</t>
  </si>
  <si>
    <t>S</t>
  </si>
  <si>
    <t>979094211R00</t>
  </si>
  <si>
    <t>979981106R00</t>
  </si>
  <si>
    <t>59764203</t>
  </si>
  <si>
    <t>597813623</t>
  </si>
  <si>
    <t>553306130</t>
  </si>
  <si>
    <t>61165604</t>
  </si>
  <si>
    <t>61160188</t>
  </si>
  <si>
    <t>64232404</t>
  </si>
  <si>
    <t>64214820</t>
  </si>
  <si>
    <t>64291390</t>
  </si>
  <si>
    <t>55145030</t>
  </si>
  <si>
    <t>54914636</t>
  </si>
  <si>
    <t>Rekonstrukce sociálního zařízení</t>
  </si>
  <si>
    <t>WC dívky</t>
  </si>
  <si>
    <t>Česká Třebová, ZŠ Nádražní</t>
  </si>
  <si>
    <t>Zkrácený popis</t>
  </si>
  <si>
    <t>Rozměry</t>
  </si>
  <si>
    <t>Stěny a příčky</t>
  </si>
  <si>
    <t>Příčky z desek Ytong tl. 10 cm</t>
  </si>
  <si>
    <t>Příčky z desek Ytong tl. 10 cm - obezdění stoupaček</t>
  </si>
  <si>
    <t>Těsnění styku příčky se stáv. konstrukcí PU pěnou</t>
  </si>
  <si>
    <t>Úprava povrchů vnitřní</t>
  </si>
  <si>
    <t>Montáž výztužné sítě (perlinky) do stěrky-stěny</t>
  </si>
  <si>
    <t>Úprava vnitřních stěn aktivovaným štukem</t>
  </si>
  <si>
    <t>Lokální oprava omítek</t>
  </si>
  <si>
    <t>Výplně otvorů</t>
  </si>
  <si>
    <t>Montáž dveří do zárubně</t>
  </si>
  <si>
    <t>Vnitřní kanalizace</t>
  </si>
  <si>
    <t>Úprava vnitřních odpadů</t>
  </si>
  <si>
    <t>Vnitřní vodovod</t>
  </si>
  <si>
    <t>Úprava vnitřního vodovodu</t>
  </si>
  <si>
    <t>Zařizovací předměty</t>
  </si>
  <si>
    <t>Demontáž zařizovacích předmětů</t>
  </si>
  <si>
    <t>Otopná tělesa</t>
  </si>
  <si>
    <t>Otopná těl.panel.Radik Plan Klasik 11  600/ 600</t>
  </si>
  <si>
    <t>Konstrukce truhlářské</t>
  </si>
  <si>
    <t>Demontáž obložení stěny, zpětná montáž</t>
  </si>
  <si>
    <t>Montáž kliky a štítku</t>
  </si>
  <si>
    <t>Podlahy z dlaždic</t>
  </si>
  <si>
    <t>Kladení dlažby keramické do TM, vel. do 400x400 mm</t>
  </si>
  <si>
    <t>Nivelace po vybourané dlažbě</t>
  </si>
  <si>
    <t>Penetrace podkladu</t>
  </si>
  <si>
    <t>Obklady (keramické)</t>
  </si>
  <si>
    <t>Odsekání obkladů vnitřních</t>
  </si>
  <si>
    <t>Vyrovnání podkladu maltou ze SMS tl. do 7 mm</t>
  </si>
  <si>
    <t>Obkládání stěn vnitř.keram. do tmele do 300x300 mm</t>
  </si>
  <si>
    <t>Nátěry</t>
  </si>
  <si>
    <t>Nátěr zárubní</t>
  </si>
  <si>
    <t>Malby</t>
  </si>
  <si>
    <t>Odstranění malby oškrábáním</t>
  </si>
  <si>
    <t>Malba disperzní interiérová</t>
  </si>
  <si>
    <t>Lešení a stavební výtahy</t>
  </si>
  <si>
    <t>Lešení lehké pomocné</t>
  </si>
  <si>
    <t>Bourání konstrukcí</t>
  </si>
  <si>
    <t>Bourání příček cihelných tl. 10 cm</t>
  </si>
  <si>
    <t>Bourání mazanin betonových</t>
  </si>
  <si>
    <t>Bourání dlažby</t>
  </si>
  <si>
    <t>Dočištění povrchu po vybourání dlažeb</t>
  </si>
  <si>
    <t>Prorážení otvorů a ostatní bourací práce</t>
  </si>
  <si>
    <t>Přesun hmot pro budovy zděné</t>
  </si>
  <si>
    <t>Elektromontáže</t>
  </si>
  <si>
    <t>Práce elektro</t>
  </si>
  <si>
    <t>Přesuny sutí</t>
  </si>
  <si>
    <t>Nakládání vybouraného materiálu</t>
  </si>
  <si>
    <t>Kontejner, suť bez příměsí, odvoz a likvidace</t>
  </si>
  <si>
    <t>Ostatní materiál</t>
  </si>
  <si>
    <t>Dlažba 33cmx33cm</t>
  </si>
  <si>
    <t>Obkládačka 20 x 25</t>
  </si>
  <si>
    <t>Zárubeň plech. 600x1970 L</t>
  </si>
  <si>
    <t>Dveře vnitřní plech 60x197 cm, levé</t>
  </si>
  <si>
    <t>Dveře vnitřní hladké plné, 80cm</t>
  </si>
  <si>
    <t>WC kombi, příslušenství</t>
  </si>
  <si>
    <t>Umyvadlo s otv. pro baterii</t>
  </si>
  <si>
    <t>Kryt na sifón</t>
  </si>
  <si>
    <t>Baterie umyvadlová</t>
  </si>
  <si>
    <t>Dveřní kování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</si>
  <si>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</si>
  <si>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</si>
  <si>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</si>
  <si>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</si>
  <si>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</si>
  <si>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</si>
  <si>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</si>
  <si>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</si>
  <si>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soub</t>
  </si>
  <si>
    <t>soubor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</si>
  <si>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</si>
  <si>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</si>
  <si>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</si>
  <si>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</si>
  <si>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</si>
  <si>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</si>
  <si>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</si>
  <si>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</si>
  <si>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</si>
  <si>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</si>
  <si>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</si>
  <si>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</si>
  <si>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</si>
  <si>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Česká Třebová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</si>
  <si>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</si>
  <si>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</si>
  <si>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</si>
  <si>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</si>
  <si>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</si>
  <si>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</si>
  <si>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</si>
  <si>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</si>
  <si>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</si>
  <si>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</si>
  <si>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</si>
  <si>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</si>
  <si>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</si>
  <si>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</si>
  <si>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</si>
  <si>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</si>
  <si>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</si>
  <si>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</si>
  <si>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</si>
  <si>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64_</t>
  </si>
  <si>
    <t>721_</t>
  </si>
  <si>
    <t>722_</t>
  </si>
  <si>
    <t>725_</t>
  </si>
  <si>
    <t>735_</t>
  </si>
  <si>
    <t>766_</t>
  </si>
  <si>
    <t>771_</t>
  </si>
  <si>
    <t>781_</t>
  </si>
  <si>
    <t>783_</t>
  </si>
  <si>
    <t>784_</t>
  </si>
  <si>
    <t>94_</t>
  </si>
  <si>
    <t>96_</t>
  </si>
  <si>
    <t>97_</t>
  </si>
  <si>
    <t>H01_</t>
  </si>
  <si>
    <t>M21_</t>
  </si>
  <si>
    <t>S_</t>
  </si>
  <si>
    <t>Z99999_</t>
  </si>
  <si>
    <t>3_</t>
  </si>
  <si>
    <t>6_</t>
  </si>
  <si>
    <t>72_</t>
  </si>
  <si>
    <t>73_</t>
  </si>
  <si>
    <t>76_</t>
  </si>
  <si>
    <t>77_</t>
  </si>
  <si>
    <t>78_</t>
  </si>
  <si>
    <t>9_</t>
  </si>
  <si>
    <t>Z_</t>
  </si>
  <si>
    <t>_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</si>
  <si>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</si>
  <si>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</si>
  <si>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</si>
  <si>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</si>
  <si>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</si>
  <si>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</si>
  <si>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</si>
  <si>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</si>
  <si>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</si>
  <si>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</si>
  <si>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</si>
  <si>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</si>
  <si>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</si>
  <si>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</si>
  <si>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</si>
  <si>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</si>
  <si>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</si>
  <si>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</si>
  <si>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</si>
  <si>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Režie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</si>
  <si>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</si>
  <si>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</si>
  <si>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</si>
  <si>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</si>
  <si>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</si>
  <si>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</si>
  <si>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</si>
  <si>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</si>
  <si>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</si>
  <si>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</si>
  <si>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</si>
  <si>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</si>
  <si>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</si>
  <si>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</si>
  <si>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</si>
  <si>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</si>
  <si>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</si>
  <si>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</si>
  <si>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</si>
  <si>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</si>
  <si>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</si>
  <si>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</si>
  <si>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</si>
  <si>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</si>
  <si>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Zásobník na ručníky nerez</t>
  </si>
  <si>
    <t>Dávkovač mýdla nerez</t>
  </si>
  <si>
    <t>Zavírač dveří hydraulický</t>
  </si>
  <si>
    <t>54917045</t>
  </si>
  <si>
    <t>54915538</t>
  </si>
  <si>
    <t>54915647</t>
  </si>
  <si>
    <t>Montáž zařizovacích předmětů a vybavení</t>
  </si>
  <si>
    <t>46</t>
  </si>
  <si>
    <t>47</t>
  </si>
  <si>
    <t>48</t>
  </si>
  <si>
    <t>Vysekání kapes zeď cih. MVC</t>
  </si>
  <si>
    <t>Osazení zárubně do porobet. příčky tl. 100 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</si>
</sst>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33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1" fillId="0" borderId="24" xfId="0" applyNumberFormat="1" applyFont="1" applyFill="1" applyBorder="1" applyAlignment="1" applyProtection="1">
      <alignment horizontal="right" vertical="center"/>
      <protection/>
    </xf>
    <xf numFmtId="49" fontId="11" fillId="0" borderId="24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0" fillId="33" borderId="33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49" fontId="10" fillId="33" borderId="32" xfId="0" applyNumberFormat="1" applyFont="1" applyFill="1" applyBorder="1" applyAlignment="1" applyProtection="1">
      <alignment horizontal="left" vertical="center"/>
      <protection/>
    </xf>
    <xf numFmtId="0" fontId="10" fillId="33" borderId="41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"/>
  <sheetViews>
    <sheetView tabSelected="1" zoomScalePageLayoutView="0" workbookViewId="0" topLeftCell="A1">
      <selection activeCell="H33" sqref="H3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9.5742187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0" style="0" hidden="1" customWidth="1"/>
    <col min="14" max="46" width="12.140625" style="0" hidden="1" customWidth="1"/>
  </cols>
  <sheetData>
    <row r="1" spans="1:12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2.75">
      <c r="A2" s="54" t="s">
        <v>1</v>
      </c>
      <c r="B2" s="55"/>
      <c r="C2" s="55"/>
      <c r="D2" s="58" t="s">
        <v>116</v>
      </c>
      <c r="E2" s="60" t="s">
        <v>180</v>
      </c>
      <c r="F2" s="55"/>
      <c r="G2" s="60"/>
      <c r="H2" s="55"/>
      <c r="I2" s="61" t="s">
        <v>198</v>
      </c>
      <c r="J2" s="61" t="s">
        <v>203</v>
      </c>
      <c r="K2" s="55"/>
      <c r="L2" s="55"/>
      <c r="M2" s="27"/>
    </row>
    <row r="3" spans="1:13" ht="12.75">
      <c r="A3" s="56"/>
      <c r="B3" s="57"/>
      <c r="C3" s="57"/>
      <c r="D3" s="59"/>
      <c r="E3" s="57"/>
      <c r="F3" s="57"/>
      <c r="G3" s="57"/>
      <c r="H3" s="57"/>
      <c r="I3" s="57"/>
      <c r="J3" s="57"/>
      <c r="K3" s="57"/>
      <c r="L3" s="57"/>
      <c r="M3" s="27"/>
    </row>
    <row r="4" spans="1:13" ht="12.75">
      <c r="A4" s="62" t="s">
        <v>2</v>
      </c>
      <c r="B4" s="57"/>
      <c r="C4" s="57"/>
      <c r="D4" s="63" t="s">
        <v>117</v>
      </c>
      <c r="E4" s="64" t="s">
        <v>181</v>
      </c>
      <c r="F4" s="57"/>
      <c r="G4" s="64" t="s">
        <v>6</v>
      </c>
      <c r="H4" s="57"/>
      <c r="I4" s="63" t="s">
        <v>199</v>
      </c>
      <c r="J4" s="63"/>
      <c r="K4" s="57"/>
      <c r="L4" s="57"/>
      <c r="M4" s="27"/>
    </row>
    <row r="5" spans="1:13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7"/>
    </row>
    <row r="6" spans="1:13" ht="12.75">
      <c r="A6" s="62" t="s">
        <v>3</v>
      </c>
      <c r="B6" s="57"/>
      <c r="C6" s="57"/>
      <c r="D6" s="63" t="s">
        <v>118</v>
      </c>
      <c r="E6" s="64" t="s">
        <v>182</v>
      </c>
      <c r="F6" s="57"/>
      <c r="G6" s="57"/>
      <c r="H6" s="57"/>
      <c r="I6" s="63" t="s">
        <v>200</v>
      </c>
      <c r="J6" s="63"/>
      <c r="K6" s="57"/>
      <c r="L6" s="57"/>
      <c r="M6" s="27"/>
    </row>
    <row r="7" spans="1:13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27"/>
    </row>
    <row r="8" spans="1:13" ht="12.75">
      <c r="A8" s="62" t="s">
        <v>4</v>
      </c>
      <c r="B8" s="57"/>
      <c r="C8" s="57"/>
      <c r="D8" s="63"/>
      <c r="E8" s="64" t="s">
        <v>183</v>
      </c>
      <c r="F8" s="57"/>
      <c r="G8" s="57"/>
      <c r="H8" s="57"/>
      <c r="I8" s="63" t="s">
        <v>201</v>
      </c>
      <c r="J8" s="63"/>
      <c r="K8" s="57"/>
      <c r="L8" s="57"/>
      <c r="M8" s="27"/>
    </row>
    <row r="9" spans="1:13" ht="12.7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7"/>
    </row>
    <row r="10" spans="1:13" ht="12.75">
      <c r="A10" s="1" t="s">
        <v>5</v>
      </c>
      <c r="B10" s="9" t="s">
        <v>53</v>
      </c>
      <c r="C10" s="9" t="s">
        <v>54</v>
      </c>
      <c r="D10" s="9" t="s">
        <v>119</v>
      </c>
      <c r="E10" s="9" t="s">
        <v>184</v>
      </c>
      <c r="F10" s="14" t="s">
        <v>192</v>
      </c>
      <c r="G10" s="18" t="s">
        <v>193</v>
      </c>
      <c r="H10" s="67" t="s">
        <v>195</v>
      </c>
      <c r="I10" s="68"/>
      <c r="J10" s="69"/>
      <c r="K10" s="67" t="s">
        <v>205</v>
      </c>
      <c r="L10" s="69"/>
      <c r="M10" s="28"/>
    </row>
    <row r="11" spans="1:23" ht="12.75">
      <c r="A11" s="2" t="s">
        <v>6</v>
      </c>
      <c r="B11" s="10" t="s">
        <v>6</v>
      </c>
      <c r="C11" s="10" t="s">
        <v>6</v>
      </c>
      <c r="D11" s="13" t="s">
        <v>120</v>
      </c>
      <c r="E11" s="10" t="s">
        <v>6</v>
      </c>
      <c r="F11" s="10" t="s">
        <v>6</v>
      </c>
      <c r="G11" s="19" t="s">
        <v>194</v>
      </c>
      <c r="H11" s="20" t="s">
        <v>196</v>
      </c>
      <c r="I11" s="21" t="s">
        <v>202</v>
      </c>
      <c r="J11" s="22" t="s">
        <v>204</v>
      </c>
      <c r="K11" s="20" t="s">
        <v>193</v>
      </c>
      <c r="L11" s="22" t="s">
        <v>204</v>
      </c>
      <c r="M11" s="28"/>
      <c r="O11" s="24" t="s">
        <v>207</v>
      </c>
      <c r="P11" s="24" t="s">
        <v>208</v>
      </c>
      <c r="Q11" s="24" t="s">
        <v>214</v>
      </c>
      <c r="R11" s="24" t="s">
        <v>215</v>
      </c>
      <c r="S11" s="24" t="s">
        <v>216</v>
      </c>
      <c r="T11" s="24" t="s">
        <v>217</v>
      </c>
      <c r="U11" s="24" t="s">
        <v>218</v>
      </c>
      <c r="V11" s="24" t="s">
        <v>219</v>
      </c>
      <c r="W11" s="24" t="s">
        <v>220</v>
      </c>
    </row>
    <row r="12" spans="1:36" ht="12.75">
      <c r="A12" s="3"/>
      <c r="B12" s="11"/>
      <c r="C12" s="11" t="s">
        <v>40</v>
      </c>
      <c r="D12" s="70" t="s">
        <v>121</v>
      </c>
      <c r="E12" s="71"/>
      <c r="F12" s="71"/>
      <c r="G12" s="71"/>
      <c r="H12" s="31">
        <f>SUM(H13:H15)</f>
        <v>0</v>
      </c>
      <c r="I12" s="31">
        <f>SUM(I13:I15)</f>
        <v>0</v>
      </c>
      <c r="J12" s="31">
        <f>H12+I12</f>
        <v>0</v>
      </c>
      <c r="K12" s="23"/>
      <c r="L12" s="31">
        <f>SUM(L13:L15)</f>
        <v>2.07684</v>
      </c>
      <c r="O12" s="32">
        <f>IF(P12="PR",J12,SUM(N13:N15))</f>
        <v>0</v>
      </c>
      <c r="P12" s="24" t="s">
        <v>209</v>
      </c>
      <c r="Q12" s="32">
        <f>IF(P12="HS",H12,0)</f>
        <v>0</v>
      </c>
      <c r="R12" s="32">
        <f>IF(P12="HS",I12-O12,0)</f>
        <v>0</v>
      </c>
      <c r="S12" s="32">
        <f>IF(P12="PS",H12,0)</f>
        <v>0</v>
      </c>
      <c r="T12" s="32">
        <f>IF(P12="PS",I12-O12,0)</f>
        <v>0</v>
      </c>
      <c r="U12" s="32">
        <f>IF(P12="MP",H12,0)</f>
        <v>0</v>
      </c>
      <c r="V12" s="32">
        <f>IF(P12="MP",I12-O12,0)</f>
        <v>0</v>
      </c>
      <c r="W12" s="32">
        <f>IF(P12="OM",H12,0)</f>
        <v>0</v>
      </c>
      <c r="X12" s="24"/>
      <c r="AH12" s="32">
        <f>SUM(Y13:Y15)</f>
        <v>0</v>
      </c>
      <c r="AI12" s="32">
        <f>SUM(Z13:Z15)</f>
        <v>0</v>
      </c>
      <c r="AJ12" s="32">
        <f>SUM(AA13:AA15)</f>
        <v>0</v>
      </c>
    </row>
    <row r="13" spans="1:42" ht="12.75">
      <c r="A13" s="4" t="s">
        <v>7</v>
      </c>
      <c r="B13" s="4"/>
      <c r="C13" s="4" t="s">
        <v>55</v>
      </c>
      <c r="D13" s="4" t="s">
        <v>122</v>
      </c>
      <c r="E13" s="4" t="s">
        <v>185</v>
      </c>
      <c r="F13" s="15">
        <v>19.8</v>
      </c>
      <c r="G13" s="15"/>
      <c r="H13" s="15">
        <f>ROUND(F13*AD13,2)</f>
        <v>0</v>
      </c>
      <c r="I13" s="15">
        <f>J13-H13</f>
        <v>0</v>
      </c>
      <c r="J13" s="15">
        <f>ROUND(F13*G13,2)</f>
        <v>0</v>
      </c>
      <c r="K13" s="15">
        <v>0.0706</v>
      </c>
      <c r="L13" s="15">
        <f>F13*K13</f>
        <v>1.39788</v>
      </c>
      <c r="M13" s="25" t="s">
        <v>7</v>
      </c>
      <c r="N13" s="15">
        <f>IF(M13="5",I13,0)</f>
        <v>0</v>
      </c>
      <c r="Y13" s="15">
        <f>IF(AC13=0,J13,0)</f>
        <v>0</v>
      </c>
      <c r="Z13" s="15">
        <f>IF(AC13=15,J13,0)</f>
        <v>0</v>
      </c>
      <c r="AA13" s="15">
        <f>IF(AC13=21,J13,0)</f>
        <v>0</v>
      </c>
      <c r="AC13" s="29">
        <v>21</v>
      </c>
      <c r="AD13" s="29">
        <f>G13*0.655017361111111</f>
        <v>0</v>
      </c>
      <c r="AE13" s="29">
        <f>G13*(1-0.655017361111111)</f>
        <v>0</v>
      </c>
      <c r="AL13" s="29">
        <f>F13*AD13</f>
        <v>0</v>
      </c>
      <c r="AM13" s="29">
        <f>F13*AE13</f>
        <v>0</v>
      </c>
      <c r="AN13" s="30" t="s">
        <v>221</v>
      </c>
      <c r="AO13" s="30" t="s">
        <v>240</v>
      </c>
      <c r="AP13" s="24" t="s">
        <v>249</v>
      </c>
    </row>
    <row r="14" spans="1:42" ht="12.75">
      <c r="A14" s="4" t="s">
        <v>8</v>
      </c>
      <c r="B14" s="4"/>
      <c r="C14" s="4" t="s">
        <v>55</v>
      </c>
      <c r="D14" s="4" t="s">
        <v>123</v>
      </c>
      <c r="E14" s="4" t="s">
        <v>185</v>
      </c>
      <c r="F14" s="15">
        <v>9.6</v>
      </c>
      <c r="G14" s="15"/>
      <c r="H14" s="15">
        <f>ROUND(F14*AD14,2)</f>
        <v>0</v>
      </c>
      <c r="I14" s="15">
        <f>J14-H14</f>
        <v>0</v>
      </c>
      <c r="J14" s="15">
        <f>ROUND(F14*G14,2)</f>
        <v>0</v>
      </c>
      <c r="K14" s="15">
        <v>0.0706</v>
      </c>
      <c r="L14" s="15">
        <f>F14*K14</f>
        <v>0.6777599999999999</v>
      </c>
      <c r="M14" s="25" t="s">
        <v>7</v>
      </c>
      <c r="N14" s="15">
        <f>IF(M14="5",I14,0)</f>
        <v>0</v>
      </c>
      <c r="Y14" s="15">
        <f>IF(AC14=0,J14,0)</f>
        <v>0</v>
      </c>
      <c r="Z14" s="15">
        <f>IF(AC14=15,J14,0)</f>
        <v>0</v>
      </c>
      <c r="AA14" s="15">
        <f>IF(AC14=21,J14,0)</f>
        <v>0</v>
      </c>
      <c r="AC14" s="29">
        <v>21</v>
      </c>
      <c r="AD14" s="29">
        <f>G14*0.655017361111111</f>
        <v>0</v>
      </c>
      <c r="AE14" s="29">
        <f>G14*(1-0.655017361111111)</f>
        <v>0</v>
      </c>
      <c r="AL14" s="29">
        <f>F14*AD14</f>
        <v>0</v>
      </c>
      <c r="AM14" s="29">
        <f>F14*AE14</f>
        <v>0</v>
      </c>
      <c r="AN14" s="30" t="s">
        <v>221</v>
      </c>
      <c r="AO14" s="30" t="s">
        <v>240</v>
      </c>
      <c r="AP14" s="24" t="s">
        <v>249</v>
      </c>
    </row>
    <row r="15" spans="1:42" ht="12.75">
      <c r="A15" s="4" t="s">
        <v>9</v>
      </c>
      <c r="B15" s="4"/>
      <c r="C15" s="4" t="s">
        <v>56</v>
      </c>
      <c r="D15" s="4" t="s">
        <v>124</v>
      </c>
      <c r="E15" s="4" t="s">
        <v>186</v>
      </c>
      <c r="F15" s="15">
        <v>15</v>
      </c>
      <c r="G15" s="15"/>
      <c r="H15" s="15">
        <f>ROUND(F15*AD15,2)</f>
        <v>0</v>
      </c>
      <c r="I15" s="15">
        <f>J15-H15</f>
        <v>0</v>
      </c>
      <c r="J15" s="15">
        <f>ROUND(F15*G15,2)</f>
        <v>0</v>
      </c>
      <c r="K15" s="15">
        <v>8E-05</v>
      </c>
      <c r="L15" s="15">
        <f>F15*K15</f>
        <v>0.0012000000000000001</v>
      </c>
      <c r="M15" s="25" t="s">
        <v>7</v>
      </c>
      <c r="N15" s="15">
        <f>IF(M15="5",I15,0)</f>
        <v>0</v>
      </c>
      <c r="Y15" s="15">
        <f>IF(AC15=0,J15,0)</f>
        <v>0</v>
      </c>
      <c r="Z15" s="15">
        <f>IF(AC15=15,J15,0)</f>
        <v>0</v>
      </c>
      <c r="AA15" s="15">
        <f>IF(AC15=21,J15,0)</f>
        <v>0</v>
      </c>
      <c r="AC15" s="29">
        <v>21</v>
      </c>
      <c r="AD15" s="29">
        <f>G15*0.236308034473172</f>
        <v>0</v>
      </c>
      <c r="AE15" s="29">
        <f>G15*(1-0.236308034473172)</f>
        <v>0</v>
      </c>
      <c r="AL15" s="29">
        <f>F15*AD15</f>
        <v>0</v>
      </c>
      <c r="AM15" s="29">
        <f>F15*AE15</f>
        <v>0</v>
      </c>
      <c r="AN15" s="30" t="s">
        <v>221</v>
      </c>
      <c r="AO15" s="30" t="s">
        <v>240</v>
      </c>
      <c r="AP15" s="24" t="s">
        <v>249</v>
      </c>
    </row>
    <row r="16" spans="1:36" ht="12.75">
      <c r="A16" s="5"/>
      <c r="B16" s="12"/>
      <c r="C16" s="12" t="s">
        <v>57</v>
      </c>
      <c r="D16" s="72" t="s">
        <v>125</v>
      </c>
      <c r="E16" s="73"/>
      <c r="F16" s="73"/>
      <c r="G16" s="73"/>
      <c r="H16" s="32">
        <f>SUM(H17:H19)</f>
        <v>0</v>
      </c>
      <c r="I16" s="32">
        <f>SUM(I17:I19)</f>
        <v>0</v>
      </c>
      <c r="J16" s="32">
        <f>H16+I16</f>
        <v>0</v>
      </c>
      <c r="K16" s="24"/>
      <c r="L16" s="32">
        <f>SUM(L17:L19)</f>
        <v>0.547092</v>
      </c>
      <c r="O16" s="32">
        <f>IF(P16="PR",J16,SUM(N17:N19))</f>
        <v>0</v>
      </c>
      <c r="P16" s="24" t="s">
        <v>209</v>
      </c>
      <c r="Q16" s="32">
        <f>IF(P16="HS",H16,0)</f>
        <v>0</v>
      </c>
      <c r="R16" s="32">
        <f>IF(P16="HS",I16-O16,0)</f>
        <v>0</v>
      </c>
      <c r="S16" s="32">
        <f>IF(P16="PS",H16,0)</f>
        <v>0</v>
      </c>
      <c r="T16" s="32">
        <f>IF(P16="PS",I16-O16,0)</f>
        <v>0</v>
      </c>
      <c r="U16" s="32">
        <f>IF(P16="MP",H16,0)</f>
        <v>0</v>
      </c>
      <c r="V16" s="32">
        <f>IF(P16="MP",I16-O16,0)</f>
        <v>0</v>
      </c>
      <c r="W16" s="32">
        <f>IF(P16="OM",H16,0)</f>
        <v>0</v>
      </c>
      <c r="X16" s="24"/>
      <c r="AH16" s="32">
        <f>SUM(Y17:Y19)</f>
        <v>0</v>
      </c>
      <c r="AI16" s="32">
        <f>SUM(Z17:Z19)</f>
        <v>0</v>
      </c>
      <c r="AJ16" s="32">
        <f>SUM(AA17:AA19)</f>
        <v>0</v>
      </c>
    </row>
    <row r="17" spans="1:42" ht="12.75">
      <c r="A17" s="4" t="s">
        <v>10</v>
      </c>
      <c r="B17" s="4"/>
      <c r="C17" s="4" t="s">
        <v>58</v>
      </c>
      <c r="D17" s="4" t="s">
        <v>126</v>
      </c>
      <c r="E17" s="4" t="s">
        <v>185</v>
      </c>
      <c r="F17" s="15">
        <v>54.6</v>
      </c>
      <c r="G17" s="15"/>
      <c r="H17" s="15">
        <f>ROUND(F17*AD17,2)</f>
        <v>0</v>
      </c>
      <c r="I17" s="15">
        <f>J17-H17</f>
        <v>0</v>
      </c>
      <c r="J17" s="15">
        <f>ROUND(F17*G17,2)</f>
        <v>0</v>
      </c>
      <c r="K17" s="15">
        <v>0.00367</v>
      </c>
      <c r="L17" s="15">
        <f>F17*K17</f>
        <v>0.200382</v>
      </c>
      <c r="M17" s="25" t="s">
        <v>7</v>
      </c>
      <c r="N17" s="15">
        <f>IF(M17="5",I17,0)</f>
        <v>0</v>
      </c>
      <c r="Y17" s="15">
        <f>IF(AC17=0,J17,0)</f>
        <v>0</v>
      </c>
      <c r="Z17" s="15">
        <f>IF(AC17=15,J17,0)</f>
        <v>0</v>
      </c>
      <c r="AA17" s="15">
        <f>IF(AC17=21,J17,0)</f>
        <v>0</v>
      </c>
      <c r="AC17" s="29">
        <v>21</v>
      </c>
      <c r="AD17" s="29">
        <f>G17*0.304322766570605</f>
        <v>0</v>
      </c>
      <c r="AE17" s="29">
        <f>G17*(1-0.304322766570605)</f>
        <v>0</v>
      </c>
      <c r="AL17" s="29">
        <f>F17*AD17</f>
        <v>0</v>
      </c>
      <c r="AM17" s="29">
        <f>F17*AE17</f>
        <v>0</v>
      </c>
      <c r="AN17" s="30" t="s">
        <v>222</v>
      </c>
      <c r="AO17" s="30" t="s">
        <v>241</v>
      </c>
      <c r="AP17" s="24" t="s">
        <v>249</v>
      </c>
    </row>
    <row r="18" spans="1:42" ht="12.75">
      <c r="A18" s="4" t="s">
        <v>11</v>
      </c>
      <c r="B18" s="4"/>
      <c r="C18" s="4" t="s">
        <v>59</v>
      </c>
      <c r="D18" s="4" t="s">
        <v>127</v>
      </c>
      <c r="E18" s="4" t="s">
        <v>185</v>
      </c>
      <c r="F18" s="15">
        <v>54.6</v>
      </c>
      <c r="G18" s="15"/>
      <c r="H18" s="15">
        <f>ROUND(F18*AD18,2)</f>
        <v>0</v>
      </c>
      <c r="I18" s="15">
        <f>J18-H18</f>
        <v>0</v>
      </c>
      <c r="J18" s="15">
        <f>ROUND(F18*G18,2)</f>
        <v>0</v>
      </c>
      <c r="K18" s="15">
        <v>0.00635</v>
      </c>
      <c r="L18" s="15">
        <f>F18*K18</f>
        <v>0.34671</v>
      </c>
      <c r="M18" s="25" t="s">
        <v>7</v>
      </c>
      <c r="N18" s="15">
        <f>IF(M18="5",I18,0)</f>
        <v>0</v>
      </c>
      <c r="Y18" s="15">
        <f>IF(AC18=0,J18,0)</f>
        <v>0</v>
      </c>
      <c r="Z18" s="15">
        <f>IF(AC18=15,J18,0)</f>
        <v>0</v>
      </c>
      <c r="AA18" s="15">
        <f>IF(AC18=21,J18,0)</f>
        <v>0</v>
      </c>
      <c r="AC18" s="29">
        <v>21</v>
      </c>
      <c r="AD18" s="29">
        <f>G18*0.0698</f>
        <v>0</v>
      </c>
      <c r="AE18" s="29">
        <f>G18*(1-0.0698)</f>
        <v>0</v>
      </c>
      <c r="AL18" s="29">
        <f>F18*AD18</f>
        <v>0</v>
      </c>
      <c r="AM18" s="29">
        <f>F18*AE18</f>
        <v>0</v>
      </c>
      <c r="AN18" s="30" t="s">
        <v>222</v>
      </c>
      <c r="AO18" s="30" t="s">
        <v>241</v>
      </c>
      <c r="AP18" s="24" t="s">
        <v>249</v>
      </c>
    </row>
    <row r="19" spans="1:42" ht="12.75">
      <c r="A19" s="4" t="s">
        <v>12</v>
      </c>
      <c r="B19" s="4"/>
      <c r="C19" s="4" t="s">
        <v>60</v>
      </c>
      <c r="D19" s="4" t="s">
        <v>128</v>
      </c>
      <c r="E19" s="4" t="s">
        <v>185</v>
      </c>
      <c r="F19" s="15">
        <v>54.6</v>
      </c>
      <c r="G19" s="15"/>
      <c r="H19" s="15">
        <f>ROUND(F19*AD19,2)</f>
        <v>0</v>
      </c>
      <c r="I19" s="15">
        <f>J19-H19</f>
        <v>0</v>
      </c>
      <c r="J19" s="15">
        <f>ROUND(F19*G19,2)</f>
        <v>0</v>
      </c>
      <c r="K19" s="15">
        <v>0</v>
      </c>
      <c r="L19" s="15">
        <f>F19*K19</f>
        <v>0</v>
      </c>
      <c r="M19" s="25" t="s">
        <v>7</v>
      </c>
      <c r="N19" s="15">
        <f>IF(M19="5",I19,0)</f>
        <v>0</v>
      </c>
      <c r="Y19" s="15">
        <f>IF(AC19=0,J19,0)</f>
        <v>0</v>
      </c>
      <c r="Z19" s="15">
        <f>IF(AC19=15,J19,0)</f>
        <v>0</v>
      </c>
      <c r="AA19" s="15">
        <f>IF(AC19=21,J19,0)</f>
        <v>0</v>
      </c>
      <c r="AC19" s="29">
        <v>21</v>
      </c>
      <c r="AD19" s="29">
        <f>G19*0</f>
        <v>0</v>
      </c>
      <c r="AE19" s="29">
        <f>G19*(1-0)</f>
        <v>0</v>
      </c>
      <c r="AL19" s="29">
        <f>F19*AD19</f>
        <v>0</v>
      </c>
      <c r="AM19" s="29">
        <f>F19*AE19</f>
        <v>0</v>
      </c>
      <c r="AN19" s="30" t="s">
        <v>222</v>
      </c>
      <c r="AO19" s="30" t="s">
        <v>241</v>
      </c>
      <c r="AP19" s="24" t="s">
        <v>249</v>
      </c>
    </row>
    <row r="20" spans="1:36" ht="12.75">
      <c r="A20" s="5"/>
      <c r="B20" s="12"/>
      <c r="C20" s="12" t="s">
        <v>61</v>
      </c>
      <c r="D20" s="72" t="s">
        <v>129</v>
      </c>
      <c r="E20" s="73"/>
      <c r="F20" s="73"/>
      <c r="G20" s="73"/>
      <c r="H20" s="32">
        <f>SUM(H21:H22)</f>
        <v>0</v>
      </c>
      <c r="I20" s="32">
        <f>SUM(I21:I22)</f>
        <v>0</v>
      </c>
      <c r="J20" s="32">
        <f>H20+I20</f>
        <v>0</v>
      </c>
      <c r="K20" s="24"/>
      <c r="L20" s="32">
        <f>SUM(L21:L22)</f>
        <v>0.097</v>
      </c>
      <c r="O20" s="32">
        <f>IF(P20="PR",J20,SUM(N21:N22))</f>
        <v>0</v>
      </c>
      <c r="P20" s="24" t="s">
        <v>209</v>
      </c>
      <c r="Q20" s="32">
        <f>IF(P20="HS",H20,0)</f>
        <v>0</v>
      </c>
      <c r="R20" s="32">
        <f>IF(P20="HS",I20-O20,0)</f>
        <v>0</v>
      </c>
      <c r="S20" s="32">
        <f>IF(P20="PS",H20,0)</f>
        <v>0</v>
      </c>
      <c r="T20" s="32">
        <f>IF(P20="PS",I20-O20,0)</f>
        <v>0</v>
      </c>
      <c r="U20" s="32">
        <f>IF(P20="MP",H20,0)</f>
        <v>0</v>
      </c>
      <c r="V20" s="32">
        <f>IF(P20="MP",I20-O20,0)</f>
        <v>0</v>
      </c>
      <c r="W20" s="32">
        <f>IF(P20="OM",H20,0)</f>
        <v>0</v>
      </c>
      <c r="X20" s="24"/>
      <c r="AH20" s="32">
        <f>SUM(Y21:Y22)</f>
        <v>0</v>
      </c>
      <c r="AI20" s="32">
        <f>SUM(Z21:Z22)</f>
        <v>0</v>
      </c>
      <c r="AJ20" s="32">
        <f>SUM(AA21:AA22)</f>
        <v>0</v>
      </c>
    </row>
    <row r="21" spans="1:42" ht="12.75">
      <c r="A21" s="4" t="s">
        <v>13</v>
      </c>
      <c r="B21" s="4"/>
      <c r="C21" s="4" t="s">
        <v>62</v>
      </c>
      <c r="D21" s="4" t="s">
        <v>305</v>
      </c>
      <c r="E21" s="4" t="s">
        <v>187</v>
      </c>
      <c r="F21" s="15">
        <v>5</v>
      </c>
      <c r="G21" s="15"/>
      <c r="H21" s="15">
        <f>ROUND(F21*AD21,2)</f>
        <v>0</v>
      </c>
      <c r="I21" s="15">
        <f>J21-H21</f>
        <v>0</v>
      </c>
      <c r="J21" s="15">
        <f>ROUND(F21*G21,2)</f>
        <v>0</v>
      </c>
      <c r="K21" s="15">
        <v>0.01897</v>
      </c>
      <c r="L21" s="15">
        <f>F21*K21</f>
        <v>0.09485</v>
      </c>
      <c r="M21" s="25" t="s">
        <v>7</v>
      </c>
      <c r="N21" s="15">
        <f>IF(M21="5",I21,0)</f>
        <v>0</v>
      </c>
      <c r="Y21" s="15">
        <f>IF(AC21=0,J21,0)</f>
        <v>0</v>
      </c>
      <c r="Z21" s="15">
        <f>IF(AC21=15,J21,0)</f>
        <v>0</v>
      </c>
      <c r="AA21" s="15">
        <f>IF(AC21=21,J21,0)</f>
        <v>0</v>
      </c>
      <c r="AC21" s="29">
        <v>21</v>
      </c>
      <c r="AD21" s="29">
        <f>G21*0.0281078153150501</f>
        <v>0</v>
      </c>
      <c r="AE21" s="29">
        <f>G21*(1-0.0281078153150501)</f>
        <v>0</v>
      </c>
      <c r="AL21" s="29">
        <f>F21*AD21</f>
        <v>0</v>
      </c>
      <c r="AM21" s="29">
        <f>F21*AE21</f>
        <v>0</v>
      </c>
      <c r="AN21" s="30" t="s">
        <v>223</v>
      </c>
      <c r="AO21" s="30" t="s">
        <v>241</v>
      </c>
      <c r="AP21" s="24" t="s">
        <v>249</v>
      </c>
    </row>
    <row r="22" spans="1:42" ht="12.75">
      <c r="A22" s="4" t="s">
        <v>14</v>
      </c>
      <c r="B22" s="4"/>
      <c r="C22" s="4" t="s">
        <v>63</v>
      </c>
      <c r="D22" s="4" t="s">
        <v>130</v>
      </c>
      <c r="E22" s="4" t="s">
        <v>187</v>
      </c>
      <c r="F22" s="15">
        <v>5</v>
      </c>
      <c r="G22" s="15"/>
      <c r="H22" s="15">
        <f>ROUND(F22*AD22,2)</f>
        <v>0</v>
      </c>
      <c r="I22" s="15">
        <f>J22-H22</f>
        <v>0</v>
      </c>
      <c r="J22" s="15">
        <f>ROUND(F22*G22,2)</f>
        <v>0</v>
      </c>
      <c r="K22" s="15">
        <v>0.00043</v>
      </c>
      <c r="L22" s="15">
        <f>F22*K22</f>
        <v>0.00215</v>
      </c>
      <c r="M22" s="25" t="s">
        <v>7</v>
      </c>
      <c r="N22" s="15">
        <f>IF(M22="5",I22,0)</f>
        <v>0</v>
      </c>
      <c r="Y22" s="15">
        <f>IF(AC22=0,J22,0)</f>
        <v>0</v>
      </c>
      <c r="Z22" s="15">
        <f>IF(AC22=15,J22,0)</f>
        <v>0</v>
      </c>
      <c r="AA22" s="15">
        <f>IF(AC22=21,J22,0)</f>
        <v>0</v>
      </c>
      <c r="AC22" s="29">
        <v>21</v>
      </c>
      <c r="AD22" s="29">
        <f>G22*0.0355028347873386</f>
        <v>0</v>
      </c>
      <c r="AE22" s="29">
        <f>G22*(1-0.0355028347873386)</f>
        <v>0</v>
      </c>
      <c r="AL22" s="29">
        <f>F22*AD22</f>
        <v>0</v>
      </c>
      <c r="AM22" s="29">
        <f>F22*AE22</f>
        <v>0</v>
      </c>
      <c r="AN22" s="30" t="s">
        <v>223</v>
      </c>
      <c r="AO22" s="30" t="s">
        <v>241</v>
      </c>
      <c r="AP22" s="24" t="s">
        <v>249</v>
      </c>
    </row>
    <row r="23" spans="1:36" ht="12.75">
      <c r="A23" s="5"/>
      <c r="B23" s="12"/>
      <c r="C23" s="12" t="s">
        <v>64</v>
      </c>
      <c r="D23" s="72" t="s">
        <v>131</v>
      </c>
      <c r="E23" s="73"/>
      <c r="F23" s="73"/>
      <c r="G23" s="73"/>
      <c r="H23" s="32">
        <f>SUM(H24:H24)</f>
        <v>0</v>
      </c>
      <c r="I23" s="32">
        <f>SUM(I24:I24)</f>
        <v>0</v>
      </c>
      <c r="J23" s="32">
        <f>H23+I23</f>
        <v>0</v>
      </c>
      <c r="K23" s="24"/>
      <c r="L23" s="32">
        <f>SUM(L24:L24)</f>
        <v>0.04638</v>
      </c>
      <c r="O23" s="32">
        <f>IF(P23="PR",J23,SUM(N24:N24))</f>
        <v>0</v>
      </c>
      <c r="P23" s="24" t="s">
        <v>210</v>
      </c>
      <c r="Q23" s="32">
        <f>IF(P23="HS",H23,0)</f>
        <v>0</v>
      </c>
      <c r="R23" s="32">
        <f>IF(P23="HS",I23-O23,0)</f>
        <v>0</v>
      </c>
      <c r="S23" s="32">
        <f>IF(P23="PS",H23,0)</f>
        <v>0</v>
      </c>
      <c r="T23" s="32">
        <f>IF(P23="PS",I23-O23,0)</f>
        <v>0</v>
      </c>
      <c r="U23" s="32">
        <f>IF(P23="MP",H23,0)</f>
        <v>0</v>
      </c>
      <c r="V23" s="32">
        <f>IF(P23="MP",I23-O23,0)</f>
        <v>0</v>
      </c>
      <c r="W23" s="32">
        <f>IF(P23="OM",H23,0)</f>
        <v>0</v>
      </c>
      <c r="X23" s="24"/>
      <c r="AH23" s="32">
        <f>SUM(Y24:Y24)</f>
        <v>0</v>
      </c>
      <c r="AI23" s="32">
        <f>SUM(Z24:Z24)</f>
        <v>0</v>
      </c>
      <c r="AJ23" s="32">
        <f>SUM(AA24:AA24)</f>
        <v>0</v>
      </c>
    </row>
    <row r="24" spans="1:42" ht="12.75">
      <c r="A24" s="4" t="s">
        <v>15</v>
      </c>
      <c r="B24" s="4"/>
      <c r="C24" s="4" t="s">
        <v>65</v>
      </c>
      <c r="D24" s="4" t="s">
        <v>132</v>
      </c>
      <c r="E24" s="4" t="s">
        <v>188</v>
      </c>
      <c r="F24" s="15">
        <v>1</v>
      </c>
      <c r="G24" s="15"/>
      <c r="H24" s="15">
        <f>ROUND(F24*AD24,2)</f>
        <v>0</v>
      </c>
      <c r="I24" s="15">
        <f>J24-H24</f>
        <v>0</v>
      </c>
      <c r="J24" s="15">
        <f>ROUND(F24*G24,2)</f>
        <v>0</v>
      </c>
      <c r="K24" s="15">
        <v>0.04638</v>
      </c>
      <c r="L24" s="15">
        <f>F24*K24</f>
        <v>0.04638</v>
      </c>
      <c r="M24" s="25" t="s">
        <v>7</v>
      </c>
      <c r="N24" s="15">
        <f>IF(M24="5",I24,0)</f>
        <v>0</v>
      </c>
      <c r="Y24" s="15">
        <f>IF(AC24=0,J24,0)</f>
        <v>0</v>
      </c>
      <c r="Z24" s="15">
        <f>IF(AC24=15,J24,0)</f>
        <v>0</v>
      </c>
      <c r="AA24" s="15">
        <f>IF(AC24=21,J24,0)</f>
        <v>0</v>
      </c>
      <c r="AC24" s="29">
        <v>21</v>
      </c>
      <c r="AD24" s="29">
        <f>G24*0.850251219512195</f>
        <v>0</v>
      </c>
      <c r="AE24" s="29">
        <f>G24*(1-0.850251219512195)</f>
        <v>0</v>
      </c>
      <c r="AL24" s="29">
        <f>F24*AD24</f>
        <v>0</v>
      </c>
      <c r="AM24" s="29">
        <f>F24*AE24</f>
        <v>0</v>
      </c>
      <c r="AN24" s="30" t="s">
        <v>224</v>
      </c>
      <c r="AO24" s="30" t="s">
        <v>242</v>
      </c>
      <c r="AP24" s="24" t="s">
        <v>249</v>
      </c>
    </row>
    <row r="25" spans="1:36" ht="12.75">
      <c r="A25" s="5"/>
      <c r="B25" s="12"/>
      <c r="C25" s="12" t="s">
        <v>66</v>
      </c>
      <c r="D25" s="72" t="s">
        <v>133</v>
      </c>
      <c r="E25" s="73"/>
      <c r="F25" s="73"/>
      <c r="G25" s="73"/>
      <c r="H25" s="32">
        <f>SUM(H26:H26)</f>
        <v>0</v>
      </c>
      <c r="I25" s="32">
        <f>SUM(I26:I26)</f>
        <v>0</v>
      </c>
      <c r="J25" s="32">
        <f>H25+I25</f>
        <v>0</v>
      </c>
      <c r="K25" s="24"/>
      <c r="L25" s="32">
        <f>SUM(L26:L26)</f>
        <v>0.03592</v>
      </c>
      <c r="O25" s="32">
        <f>IF(P25="PR",J25,SUM(N26:N26))</f>
        <v>0</v>
      </c>
      <c r="P25" s="24" t="s">
        <v>210</v>
      </c>
      <c r="Q25" s="32">
        <f>IF(P25="HS",H25,0)</f>
        <v>0</v>
      </c>
      <c r="R25" s="32">
        <f>IF(P25="HS",I25-O25,0)</f>
        <v>0</v>
      </c>
      <c r="S25" s="32">
        <f>IF(P25="PS",H25,0)</f>
        <v>0</v>
      </c>
      <c r="T25" s="32">
        <f>IF(P25="PS",I25-O25,0)</f>
        <v>0</v>
      </c>
      <c r="U25" s="32">
        <f>IF(P25="MP",H25,0)</f>
        <v>0</v>
      </c>
      <c r="V25" s="32">
        <f>IF(P25="MP",I25-O25,0)</f>
        <v>0</v>
      </c>
      <c r="W25" s="32">
        <f>IF(P25="OM",H25,0)</f>
        <v>0</v>
      </c>
      <c r="X25" s="24"/>
      <c r="AH25" s="32">
        <f>SUM(Y26:Y26)</f>
        <v>0</v>
      </c>
      <c r="AI25" s="32">
        <f>SUM(Z26:Z26)</f>
        <v>0</v>
      </c>
      <c r="AJ25" s="32">
        <f>SUM(AA26:AA26)</f>
        <v>0</v>
      </c>
    </row>
    <row r="26" spans="1:42" ht="12.75">
      <c r="A26" s="4" t="s">
        <v>16</v>
      </c>
      <c r="B26" s="4"/>
      <c r="C26" s="4" t="s">
        <v>67</v>
      </c>
      <c r="D26" s="4" t="s">
        <v>134</v>
      </c>
      <c r="E26" s="4" t="s">
        <v>188</v>
      </c>
      <c r="F26" s="15">
        <v>1</v>
      </c>
      <c r="G26" s="15"/>
      <c r="H26" s="15">
        <f>ROUND(F26*AD26,2)</f>
        <v>0</v>
      </c>
      <c r="I26" s="15">
        <f>J26-H26</f>
        <v>0</v>
      </c>
      <c r="J26" s="15">
        <f>ROUND(F26*G26,2)</f>
        <v>0</v>
      </c>
      <c r="K26" s="15">
        <v>0.03592</v>
      </c>
      <c r="L26" s="15">
        <f>F26*K26</f>
        <v>0.03592</v>
      </c>
      <c r="M26" s="25" t="s">
        <v>7</v>
      </c>
      <c r="N26" s="15">
        <f>IF(M26="5",I26,0)</f>
        <v>0</v>
      </c>
      <c r="Y26" s="15">
        <f>IF(AC26=0,J26,0)</f>
        <v>0</v>
      </c>
      <c r="Z26" s="15">
        <f>IF(AC26=15,J26,0)</f>
        <v>0</v>
      </c>
      <c r="AA26" s="15">
        <f>IF(AC26=21,J26,0)</f>
        <v>0</v>
      </c>
      <c r="AC26" s="29">
        <v>21</v>
      </c>
      <c r="AD26" s="29">
        <f>G26*0</f>
        <v>0</v>
      </c>
      <c r="AE26" s="29">
        <f>G26*(1-0)</f>
        <v>0</v>
      </c>
      <c r="AL26" s="29">
        <f>F26*AD26</f>
        <v>0</v>
      </c>
      <c r="AM26" s="29">
        <f>F26*AE26</f>
        <v>0</v>
      </c>
      <c r="AN26" s="30" t="s">
        <v>225</v>
      </c>
      <c r="AO26" s="30" t="s">
        <v>242</v>
      </c>
      <c r="AP26" s="24" t="s">
        <v>249</v>
      </c>
    </row>
    <row r="27" spans="1:36" ht="12.75">
      <c r="A27" s="5"/>
      <c r="B27" s="12"/>
      <c r="C27" s="12" t="s">
        <v>68</v>
      </c>
      <c r="D27" s="72" t="s">
        <v>135</v>
      </c>
      <c r="E27" s="73"/>
      <c r="F27" s="73"/>
      <c r="G27" s="73"/>
      <c r="H27" s="32">
        <f>SUM(H28:H29)</f>
        <v>0</v>
      </c>
      <c r="I27" s="32">
        <f>SUM(I28:I29)</f>
        <v>0</v>
      </c>
      <c r="J27" s="32">
        <f>H27+I27</f>
        <v>0</v>
      </c>
      <c r="K27" s="24"/>
      <c r="L27" s="32">
        <f>SUM(L28:L29)</f>
        <v>0.0335</v>
      </c>
      <c r="O27" s="32">
        <f>IF(P27="PR",J27,SUM(N28:N29))</f>
        <v>0</v>
      </c>
      <c r="P27" s="24" t="s">
        <v>210</v>
      </c>
      <c r="Q27" s="32">
        <f>IF(P27="HS",H27,0)</f>
        <v>0</v>
      </c>
      <c r="R27" s="32">
        <f>IF(P27="HS",I27-O27,0)</f>
        <v>0</v>
      </c>
      <c r="S27" s="32">
        <f>IF(P27="PS",H27,0)</f>
        <v>0</v>
      </c>
      <c r="T27" s="32">
        <f>IF(P27="PS",I27-O27,0)</f>
        <v>0</v>
      </c>
      <c r="U27" s="32">
        <f>IF(P27="MP",H27,0)</f>
        <v>0</v>
      </c>
      <c r="V27" s="32">
        <f>IF(P27="MP",I27-O27,0)</f>
        <v>0</v>
      </c>
      <c r="W27" s="32">
        <f>IF(P27="OM",H27,0)</f>
        <v>0</v>
      </c>
      <c r="X27" s="24"/>
      <c r="AH27" s="32">
        <f>SUM(Y28:Y29)</f>
        <v>0</v>
      </c>
      <c r="AI27" s="32">
        <f>SUM(Z28:Z29)</f>
        <v>0</v>
      </c>
      <c r="AJ27" s="32">
        <f>SUM(AA28:AA29)</f>
        <v>0</v>
      </c>
    </row>
    <row r="28" spans="1:42" ht="12.75">
      <c r="A28" s="4" t="s">
        <v>17</v>
      </c>
      <c r="B28" s="4"/>
      <c r="C28" s="4" t="s">
        <v>69</v>
      </c>
      <c r="D28" s="4" t="s">
        <v>300</v>
      </c>
      <c r="E28" s="4" t="s">
        <v>189</v>
      </c>
      <c r="F28" s="15">
        <v>1</v>
      </c>
      <c r="G28" s="15"/>
      <c r="H28" s="15">
        <f>ROUND(F28*AD28,2)</f>
        <v>0</v>
      </c>
      <c r="I28" s="15">
        <f>J28-H28</f>
        <v>0</v>
      </c>
      <c r="J28" s="15">
        <f>ROUND(F28*G28,2)</f>
        <v>0</v>
      </c>
      <c r="K28" s="15">
        <v>0.01889</v>
      </c>
      <c r="L28" s="15">
        <f>F28*K28</f>
        <v>0.01889</v>
      </c>
      <c r="M28" s="25" t="s">
        <v>7</v>
      </c>
      <c r="N28" s="15">
        <f>IF(M28="5",I28,0)</f>
        <v>0</v>
      </c>
      <c r="Y28" s="15">
        <f>IF(AC28=0,J28,0)</f>
        <v>0</v>
      </c>
      <c r="Z28" s="15">
        <f>IF(AC28=15,J28,0)</f>
        <v>0</v>
      </c>
      <c r="AA28" s="15">
        <f>IF(AC28=21,J28,0)</f>
        <v>0</v>
      </c>
      <c r="AC28" s="29">
        <v>21</v>
      </c>
      <c r="AD28" s="29">
        <f>G28*0.865326903553299</f>
        <v>0</v>
      </c>
      <c r="AE28" s="29">
        <f>G28*(1-0.865326903553299)</f>
        <v>0</v>
      </c>
      <c r="AL28" s="29">
        <f>F28*AD28</f>
        <v>0</v>
      </c>
      <c r="AM28" s="29">
        <f>F28*AE28</f>
        <v>0</v>
      </c>
      <c r="AN28" s="30" t="s">
        <v>226</v>
      </c>
      <c r="AO28" s="30" t="s">
        <v>242</v>
      </c>
      <c r="AP28" s="24" t="s">
        <v>249</v>
      </c>
    </row>
    <row r="29" spans="1:42" ht="12.75">
      <c r="A29" s="4" t="s">
        <v>18</v>
      </c>
      <c r="B29" s="4"/>
      <c r="C29" s="4" t="s">
        <v>70</v>
      </c>
      <c r="D29" s="4" t="s">
        <v>136</v>
      </c>
      <c r="E29" s="4" t="s">
        <v>189</v>
      </c>
      <c r="F29" s="15">
        <v>1</v>
      </c>
      <c r="G29" s="15"/>
      <c r="H29" s="15">
        <f>ROUND(F29*AD29,2)</f>
        <v>0</v>
      </c>
      <c r="I29" s="15">
        <f>J29-H29</f>
        <v>0</v>
      </c>
      <c r="J29" s="15">
        <f>ROUND(F29*G29,2)</f>
        <v>0</v>
      </c>
      <c r="K29" s="15">
        <v>0.01461</v>
      </c>
      <c r="L29" s="15">
        <f>F29*K29</f>
        <v>0.01461</v>
      </c>
      <c r="M29" s="25" t="s">
        <v>7</v>
      </c>
      <c r="N29" s="15">
        <f>IF(M29="5",I29,0)</f>
        <v>0</v>
      </c>
      <c r="Y29" s="15">
        <f>IF(AC29=0,J29,0)</f>
        <v>0</v>
      </c>
      <c r="Z29" s="15">
        <f>IF(AC29=15,J29,0)</f>
        <v>0</v>
      </c>
      <c r="AA29" s="15">
        <f>IF(AC29=21,J29,0)</f>
        <v>0</v>
      </c>
      <c r="AC29" s="29">
        <v>21</v>
      </c>
      <c r="AD29" s="29">
        <f>G29*0.815107107107107</f>
        <v>0</v>
      </c>
      <c r="AE29" s="29">
        <f>G29*(1-0.815107107107107)</f>
        <v>0</v>
      </c>
      <c r="AL29" s="29">
        <f>F29*AD29</f>
        <v>0</v>
      </c>
      <c r="AM29" s="29">
        <f>F29*AE29</f>
        <v>0</v>
      </c>
      <c r="AN29" s="30" t="s">
        <v>226</v>
      </c>
      <c r="AO29" s="30" t="s">
        <v>242</v>
      </c>
      <c r="AP29" s="24" t="s">
        <v>249</v>
      </c>
    </row>
    <row r="30" spans="1:36" ht="12.75">
      <c r="A30" s="5"/>
      <c r="B30" s="12"/>
      <c r="C30" s="12" t="s">
        <v>71</v>
      </c>
      <c r="D30" s="72" t="s">
        <v>137</v>
      </c>
      <c r="E30" s="73"/>
      <c r="F30" s="73"/>
      <c r="G30" s="73"/>
      <c r="H30" s="32">
        <f>SUM(H31:H31)</f>
        <v>0</v>
      </c>
      <c r="I30" s="32">
        <f>SUM(I31:I31)</f>
        <v>0</v>
      </c>
      <c r="J30" s="32">
        <f>H30+I30</f>
        <v>0</v>
      </c>
      <c r="K30" s="24"/>
      <c r="L30" s="32">
        <f>SUM(L31:L31)</f>
        <v>0.01566</v>
      </c>
      <c r="O30" s="32">
        <f>IF(P30="PR",J30,SUM(N31:N31))</f>
        <v>0</v>
      </c>
      <c r="P30" s="24" t="s">
        <v>210</v>
      </c>
      <c r="Q30" s="32">
        <f>IF(P30="HS",H30,0)</f>
        <v>0</v>
      </c>
      <c r="R30" s="32">
        <f>IF(P30="HS",I30-O30,0)</f>
        <v>0</v>
      </c>
      <c r="S30" s="32">
        <f>IF(P30="PS",H30,0)</f>
        <v>0</v>
      </c>
      <c r="T30" s="32">
        <f>IF(P30="PS",I30-O30,0)</f>
        <v>0</v>
      </c>
      <c r="U30" s="32">
        <f>IF(P30="MP",H30,0)</f>
        <v>0</v>
      </c>
      <c r="V30" s="32">
        <f>IF(P30="MP",I30-O30,0)</f>
        <v>0</v>
      </c>
      <c r="W30" s="32">
        <f>IF(P30="OM",H30,0)</f>
        <v>0</v>
      </c>
      <c r="X30" s="24"/>
      <c r="AH30" s="32">
        <f>SUM(Y31:Y31)</f>
        <v>0</v>
      </c>
      <c r="AI30" s="32">
        <f>SUM(Z31:Z31)</f>
        <v>0</v>
      </c>
      <c r="AJ30" s="32">
        <f>SUM(AA31:AA31)</f>
        <v>0</v>
      </c>
    </row>
    <row r="31" spans="1:42" ht="12.75">
      <c r="A31" s="4" t="s">
        <v>19</v>
      </c>
      <c r="B31" s="4"/>
      <c r="C31" s="4" t="s">
        <v>72</v>
      </c>
      <c r="D31" s="4" t="s">
        <v>138</v>
      </c>
      <c r="E31" s="4" t="s">
        <v>187</v>
      </c>
      <c r="F31" s="15">
        <v>1</v>
      </c>
      <c r="G31" s="15"/>
      <c r="H31" s="15">
        <f>ROUND(F31*AD31,2)</f>
        <v>0</v>
      </c>
      <c r="I31" s="15">
        <f>J31-H31</f>
        <v>0</v>
      </c>
      <c r="J31" s="15">
        <f>ROUND(F31*G31,2)</f>
        <v>0</v>
      </c>
      <c r="K31" s="15">
        <v>0.01566</v>
      </c>
      <c r="L31" s="15">
        <f>F31*K31</f>
        <v>0.01566</v>
      </c>
      <c r="M31" s="25" t="s">
        <v>7</v>
      </c>
      <c r="N31" s="15">
        <f>IF(M31="5",I31,0)</f>
        <v>0</v>
      </c>
      <c r="Y31" s="15">
        <f>IF(AC31=0,J31,0)</f>
        <v>0</v>
      </c>
      <c r="Z31" s="15">
        <f>IF(AC31=15,J31,0)</f>
        <v>0</v>
      </c>
      <c r="AA31" s="15">
        <f>IF(AC31=21,J31,0)</f>
        <v>0</v>
      </c>
      <c r="AC31" s="29">
        <v>21</v>
      </c>
      <c r="AD31" s="29">
        <f>G31*0.945554187192118</f>
        <v>0</v>
      </c>
      <c r="AE31" s="29">
        <f>G31*(1-0.945554187192118)</f>
        <v>0</v>
      </c>
      <c r="AL31" s="29">
        <f>F31*AD31</f>
        <v>0</v>
      </c>
      <c r="AM31" s="29">
        <f>F31*AE31</f>
        <v>0</v>
      </c>
      <c r="AN31" s="30" t="s">
        <v>227</v>
      </c>
      <c r="AO31" s="30" t="s">
        <v>243</v>
      </c>
      <c r="AP31" s="24" t="s">
        <v>249</v>
      </c>
    </row>
    <row r="32" spans="1:36" ht="12.75">
      <c r="A32" s="5"/>
      <c r="B32" s="12"/>
      <c r="C32" s="12" t="s">
        <v>73</v>
      </c>
      <c r="D32" s="72" t="s">
        <v>139</v>
      </c>
      <c r="E32" s="73"/>
      <c r="F32" s="73"/>
      <c r="G32" s="73"/>
      <c r="H32" s="32">
        <f>SUM(H33:H34)</f>
        <v>0</v>
      </c>
      <c r="I32" s="32">
        <f>SUM(I33:I34)</f>
        <v>0</v>
      </c>
      <c r="J32" s="32">
        <f>H32+I32</f>
        <v>0</v>
      </c>
      <c r="K32" s="24"/>
      <c r="L32" s="32">
        <f>SUM(L33:L34)</f>
        <v>0.01695</v>
      </c>
      <c r="O32" s="32">
        <f>IF(P32="PR",J32,SUM(N33:N34))</f>
        <v>0</v>
      </c>
      <c r="P32" s="24" t="s">
        <v>210</v>
      </c>
      <c r="Q32" s="32">
        <f>IF(P32="HS",H32,0)</f>
        <v>0</v>
      </c>
      <c r="R32" s="32">
        <f>IF(P32="HS",I32-O32,0)</f>
        <v>0</v>
      </c>
      <c r="S32" s="32">
        <f>IF(P32="PS",H32,0)</f>
        <v>0</v>
      </c>
      <c r="T32" s="32">
        <f>IF(P32="PS",I32-O32,0)</f>
        <v>0</v>
      </c>
      <c r="U32" s="32">
        <f>IF(P32="MP",H32,0)</f>
        <v>0</v>
      </c>
      <c r="V32" s="32">
        <f>IF(P32="MP",I32-O32,0)</f>
        <v>0</v>
      </c>
      <c r="W32" s="32">
        <f>IF(P32="OM",H32,0)</f>
        <v>0</v>
      </c>
      <c r="X32" s="24"/>
      <c r="AH32" s="32">
        <f>SUM(Y33:Y34)</f>
        <v>0</v>
      </c>
      <c r="AI32" s="32">
        <f>SUM(Z33:Z34)</f>
        <v>0</v>
      </c>
      <c r="AJ32" s="32">
        <f>SUM(AA33:AA34)</f>
        <v>0</v>
      </c>
    </row>
    <row r="33" spans="1:42" ht="12.75">
      <c r="A33" s="4" t="s">
        <v>20</v>
      </c>
      <c r="B33" s="4"/>
      <c r="C33" s="4" t="s">
        <v>74</v>
      </c>
      <c r="D33" s="4" t="s">
        <v>140</v>
      </c>
      <c r="E33" s="4" t="s">
        <v>185</v>
      </c>
      <c r="F33" s="15">
        <v>1</v>
      </c>
      <c r="G33" s="15"/>
      <c r="H33" s="15">
        <f>ROUND(F33*AD33,2)</f>
        <v>0</v>
      </c>
      <c r="I33" s="15">
        <f>J33-H33</f>
        <v>0</v>
      </c>
      <c r="J33" s="15">
        <f>ROUND(F33*G33,2)</f>
        <v>0</v>
      </c>
      <c r="K33" s="15">
        <v>0.01695</v>
      </c>
      <c r="L33" s="15">
        <f>F33*K33</f>
        <v>0.01695</v>
      </c>
      <c r="M33" s="25" t="s">
        <v>7</v>
      </c>
      <c r="N33" s="15">
        <f>IF(M33="5",I33,0)</f>
        <v>0</v>
      </c>
      <c r="Y33" s="15">
        <f>IF(AC33=0,J33,0)</f>
        <v>0</v>
      </c>
      <c r="Z33" s="15">
        <f>IF(AC33=15,J33,0)</f>
        <v>0</v>
      </c>
      <c r="AA33" s="15">
        <f>IF(AC33=21,J33,0)</f>
        <v>0</v>
      </c>
      <c r="AC33" s="29">
        <v>21</v>
      </c>
      <c r="AD33" s="29">
        <f>G33*0</f>
        <v>0</v>
      </c>
      <c r="AE33" s="29">
        <f>G33*(1-0)</f>
        <v>0</v>
      </c>
      <c r="AL33" s="29">
        <f>F33*AD33</f>
        <v>0</v>
      </c>
      <c r="AM33" s="29">
        <f>F33*AE33</f>
        <v>0</v>
      </c>
      <c r="AN33" s="30" t="s">
        <v>228</v>
      </c>
      <c r="AO33" s="30" t="s">
        <v>244</v>
      </c>
      <c r="AP33" s="24" t="s">
        <v>249</v>
      </c>
    </row>
    <row r="34" spans="1:42" ht="12.75">
      <c r="A34" s="4" t="s">
        <v>21</v>
      </c>
      <c r="B34" s="4"/>
      <c r="C34" s="4" t="s">
        <v>75</v>
      </c>
      <c r="D34" s="4" t="s">
        <v>141</v>
      </c>
      <c r="E34" s="4" t="s">
        <v>187</v>
      </c>
      <c r="F34" s="15">
        <v>5</v>
      </c>
      <c r="G34" s="15"/>
      <c r="H34" s="15">
        <f>ROUND(F34*AD34,2)</f>
        <v>0</v>
      </c>
      <c r="I34" s="15">
        <f>J34-H34</f>
        <v>0</v>
      </c>
      <c r="J34" s="15">
        <f>ROUND(F34*G34,2)</f>
        <v>0</v>
      </c>
      <c r="K34" s="15">
        <v>0</v>
      </c>
      <c r="L34" s="15">
        <f>F34*K34</f>
        <v>0</v>
      </c>
      <c r="M34" s="25" t="s">
        <v>7</v>
      </c>
      <c r="N34" s="15">
        <f>IF(M34="5",I34,0)</f>
        <v>0</v>
      </c>
      <c r="Y34" s="15">
        <f>IF(AC34=0,J34,0)</f>
        <v>0</v>
      </c>
      <c r="Z34" s="15">
        <f>IF(AC34=15,J34,0)</f>
        <v>0</v>
      </c>
      <c r="AA34" s="15">
        <f>IF(AC34=21,J34,0)</f>
        <v>0</v>
      </c>
      <c r="AC34" s="29">
        <v>21</v>
      </c>
      <c r="AD34" s="29">
        <f>G34*0</f>
        <v>0</v>
      </c>
      <c r="AE34" s="29">
        <f>G34*(1-0)</f>
        <v>0</v>
      </c>
      <c r="AL34" s="29">
        <f>F34*AD34</f>
        <v>0</v>
      </c>
      <c r="AM34" s="29">
        <f>F34*AE34</f>
        <v>0</v>
      </c>
      <c r="AN34" s="30" t="s">
        <v>228</v>
      </c>
      <c r="AO34" s="30" t="s">
        <v>244</v>
      </c>
      <c r="AP34" s="24" t="s">
        <v>249</v>
      </c>
    </row>
    <row r="35" spans="1:36" ht="12.75">
      <c r="A35" s="5"/>
      <c r="B35" s="12"/>
      <c r="C35" s="12" t="s">
        <v>76</v>
      </c>
      <c r="D35" s="72" t="s">
        <v>142</v>
      </c>
      <c r="E35" s="73"/>
      <c r="F35" s="73"/>
      <c r="G35" s="73"/>
      <c r="H35" s="32">
        <f>SUM(H36:H38)</f>
        <v>0</v>
      </c>
      <c r="I35" s="32">
        <f>SUM(I36:I38)</f>
        <v>0</v>
      </c>
      <c r="J35" s="32">
        <f>H35+I35</f>
        <v>0</v>
      </c>
      <c r="K35" s="24"/>
      <c r="L35" s="32">
        <f>SUM(L36:L38)</f>
        <v>0.0657102</v>
      </c>
      <c r="O35" s="32">
        <f>IF(P35="PR",J35,SUM(N36:N38))</f>
        <v>0</v>
      </c>
      <c r="P35" s="24" t="s">
        <v>210</v>
      </c>
      <c r="Q35" s="32">
        <f>IF(P35="HS",H35,0)</f>
        <v>0</v>
      </c>
      <c r="R35" s="32">
        <f>IF(P35="HS",I35-O35,0)</f>
        <v>0</v>
      </c>
      <c r="S35" s="32">
        <f>IF(P35="PS",H35,0)</f>
        <v>0</v>
      </c>
      <c r="T35" s="32">
        <f>IF(P35="PS",I35-O35,0)</f>
        <v>0</v>
      </c>
      <c r="U35" s="32">
        <f>IF(P35="MP",H35,0)</f>
        <v>0</v>
      </c>
      <c r="V35" s="32">
        <f>IF(P35="MP",I35-O35,0)</f>
        <v>0</v>
      </c>
      <c r="W35" s="32">
        <f>IF(P35="OM",H35,0)</f>
        <v>0</v>
      </c>
      <c r="X35" s="24"/>
      <c r="AH35" s="32">
        <f>SUM(Y36:Y38)</f>
        <v>0</v>
      </c>
      <c r="AI35" s="32">
        <f>SUM(Z36:Z38)</f>
        <v>0</v>
      </c>
      <c r="AJ35" s="32">
        <f>SUM(AA36:AA38)</f>
        <v>0</v>
      </c>
    </row>
    <row r="36" spans="1:42" ht="12.75">
      <c r="A36" s="4" t="s">
        <v>22</v>
      </c>
      <c r="B36" s="4"/>
      <c r="C36" s="4" t="s">
        <v>77</v>
      </c>
      <c r="D36" s="4" t="s">
        <v>143</v>
      </c>
      <c r="E36" s="4" t="s">
        <v>185</v>
      </c>
      <c r="F36" s="15">
        <v>16.06</v>
      </c>
      <c r="G36" s="15"/>
      <c r="H36" s="15">
        <f>ROUND(F36*AD36,2)</f>
        <v>0</v>
      </c>
      <c r="I36" s="15">
        <f>J36-H36</f>
        <v>0</v>
      </c>
      <c r="J36" s="15">
        <f>ROUND(F36*G36,2)</f>
        <v>0</v>
      </c>
      <c r="K36" s="15">
        <v>0</v>
      </c>
      <c r="L36" s="15">
        <f>F36*K36</f>
        <v>0</v>
      </c>
      <c r="M36" s="25" t="s">
        <v>7</v>
      </c>
      <c r="N36" s="15">
        <f>IF(M36="5",I36,0)</f>
        <v>0</v>
      </c>
      <c r="Y36" s="15">
        <f>IF(AC36=0,J36,0)</f>
        <v>0</v>
      </c>
      <c r="Z36" s="15">
        <f>IF(AC36=15,J36,0)</f>
        <v>0</v>
      </c>
      <c r="AA36" s="15">
        <f>IF(AC36=21,J36,0)</f>
        <v>0</v>
      </c>
      <c r="AC36" s="29">
        <v>21</v>
      </c>
      <c r="AD36" s="29">
        <f>G36*0</f>
        <v>0</v>
      </c>
      <c r="AE36" s="29">
        <f>G36*(1-0)</f>
        <v>0</v>
      </c>
      <c r="AL36" s="29">
        <f>F36*AD36</f>
        <v>0</v>
      </c>
      <c r="AM36" s="29">
        <f>F36*AE36</f>
        <v>0</v>
      </c>
      <c r="AN36" s="30" t="s">
        <v>229</v>
      </c>
      <c r="AO36" s="30" t="s">
        <v>245</v>
      </c>
      <c r="AP36" s="24" t="s">
        <v>249</v>
      </c>
    </row>
    <row r="37" spans="1:42" ht="12.75">
      <c r="A37" s="4" t="s">
        <v>23</v>
      </c>
      <c r="B37" s="4"/>
      <c r="C37" s="4" t="s">
        <v>78</v>
      </c>
      <c r="D37" s="4" t="s">
        <v>144</v>
      </c>
      <c r="E37" s="4" t="s">
        <v>185</v>
      </c>
      <c r="F37" s="15">
        <v>16.06</v>
      </c>
      <c r="G37" s="15"/>
      <c r="H37" s="15">
        <f>ROUND(F37*AD37,2)</f>
        <v>0</v>
      </c>
      <c r="I37" s="15">
        <f>J37-H37</f>
        <v>0</v>
      </c>
      <c r="J37" s="15">
        <f>ROUND(F37*G37,2)</f>
        <v>0</v>
      </c>
      <c r="K37" s="15">
        <v>0.00375</v>
      </c>
      <c r="L37" s="15">
        <f>F37*K37</f>
        <v>0.060224999999999994</v>
      </c>
      <c r="M37" s="25" t="s">
        <v>7</v>
      </c>
      <c r="N37" s="15">
        <f>IF(M37="5",I37,0)</f>
        <v>0</v>
      </c>
      <c r="Y37" s="15">
        <f>IF(AC37=0,J37,0)</f>
        <v>0</v>
      </c>
      <c r="Z37" s="15">
        <f>IF(AC37=15,J37,0)</f>
        <v>0</v>
      </c>
      <c r="AA37" s="15">
        <f>IF(AC37=21,J37,0)</f>
        <v>0</v>
      </c>
      <c r="AC37" s="29">
        <v>21</v>
      </c>
      <c r="AD37" s="29">
        <f>G37*0.368681818181818</f>
        <v>0</v>
      </c>
      <c r="AE37" s="29">
        <f>G37*(1-0.368681818181818)</f>
        <v>0</v>
      </c>
      <c r="AL37" s="29">
        <f>F37*AD37</f>
        <v>0</v>
      </c>
      <c r="AM37" s="29">
        <f>F37*AE37</f>
        <v>0</v>
      </c>
      <c r="AN37" s="30" t="s">
        <v>229</v>
      </c>
      <c r="AO37" s="30" t="s">
        <v>245</v>
      </c>
      <c r="AP37" s="24" t="s">
        <v>249</v>
      </c>
    </row>
    <row r="38" spans="1:42" ht="12.75">
      <c r="A38" s="4" t="s">
        <v>24</v>
      </c>
      <c r="B38" s="4"/>
      <c r="C38" s="4" t="s">
        <v>79</v>
      </c>
      <c r="D38" s="4" t="s">
        <v>145</v>
      </c>
      <c r="E38" s="4" t="s">
        <v>185</v>
      </c>
      <c r="F38" s="15">
        <v>26.12</v>
      </c>
      <c r="G38" s="15"/>
      <c r="H38" s="15">
        <f>ROUND(F38*AD38,2)</f>
        <v>0</v>
      </c>
      <c r="I38" s="15">
        <f>J38-H38</f>
        <v>0</v>
      </c>
      <c r="J38" s="15">
        <f>ROUND(F38*G38,2)</f>
        <v>0</v>
      </c>
      <c r="K38" s="15">
        <v>0.00021</v>
      </c>
      <c r="L38" s="15">
        <f>F38*K38</f>
        <v>0.005485200000000001</v>
      </c>
      <c r="M38" s="25" t="s">
        <v>7</v>
      </c>
      <c r="N38" s="15">
        <f>IF(M38="5",I38,0)</f>
        <v>0</v>
      </c>
      <c r="Y38" s="15">
        <f>IF(AC38=0,J38,0)</f>
        <v>0</v>
      </c>
      <c r="Z38" s="15">
        <f>IF(AC38=15,J38,0)</f>
        <v>0</v>
      </c>
      <c r="AA38" s="15">
        <f>IF(AC38=21,J38,0)</f>
        <v>0</v>
      </c>
      <c r="AC38" s="29">
        <v>21</v>
      </c>
      <c r="AD38" s="29">
        <f>G38*0.562715517241379</f>
        <v>0</v>
      </c>
      <c r="AE38" s="29">
        <f>G38*(1-0.562715517241379)</f>
        <v>0</v>
      </c>
      <c r="AL38" s="29">
        <f>F38*AD38</f>
        <v>0</v>
      </c>
      <c r="AM38" s="29">
        <f>F38*AE38</f>
        <v>0</v>
      </c>
      <c r="AN38" s="30" t="s">
        <v>229</v>
      </c>
      <c r="AO38" s="30" t="s">
        <v>245</v>
      </c>
      <c r="AP38" s="24" t="s">
        <v>249</v>
      </c>
    </row>
    <row r="39" spans="1:36" ht="12.75">
      <c r="A39" s="5"/>
      <c r="B39" s="12"/>
      <c r="C39" s="12" t="s">
        <v>80</v>
      </c>
      <c r="D39" s="72" t="s">
        <v>146</v>
      </c>
      <c r="E39" s="73"/>
      <c r="F39" s="73"/>
      <c r="G39" s="73"/>
      <c r="H39" s="32">
        <f>SUM(H40:H42)</f>
        <v>0</v>
      </c>
      <c r="I39" s="32">
        <f>SUM(I40:I42)</f>
        <v>0</v>
      </c>
      <c r="J39" s="32">
        <f>H39+I39</f>
        <v>0</v>
      </c>
      <c r="K39" s="24"/>
      <c r="L39" s="32">
        <f>SUM(L40:L42)</f>
        <v>2.71864</v>
      </c>
      <c r="O39" s="32">
        <f>IF(P39="PR",J39,SUM(N40:N42))</f>
        <v>0</v>
      </c>
      <c r="P39" s="24" t="s">
        <v>210</v>
      </c>
      <c r="Q39" s="32">
        <f>IF(P39="HS",H39,0)</f>
        <v>0</v>
      </c>
      <c r="R39" s="32">
        <f>IF(P39="HS",I39-O39,0)</f>
        <v>0</v>
      </c>
      <c r="S39" s="32">
        <f>IF(P39="PS",H39,0)</f>
        <v>0</v>
      </c>
      <c r="T39" s="32">
        <f>IF(P39="PS",I39-O39,0)</f>
        <v>0</v>
      </c>
      <c r="U39" s="32">
        <f>IF(P39="MP",H39,0)</f>
        <v>0</v>
      </c>
      <c r="V39" s="32">
        <f>IF(P39="MP",I39-O39,0)</f>
        <v>0</v>
      </c>
      <c r="W39" s="32">
        <f>IF(P39="OM",H39,0)</f>
        <v>0</v>
      </c>
      <c r="X39" s="24"/>
      <c r="AH39" s="32">
        <f>SUM(Y40:Y42)</f>
        <v>0</v>
      </c>
      <c r="AI39" s="32">
        <f>SUM(Z40:Z42)</f>
        <v>0</v>
      </c>
      <c r="AJ39" s="32">
        <f>SUM(AA40:AA42)</f>
        <v>0</v>
      </c>
    </row>
    <row r="40" spans="1:42" ht="12.75">
      <c r="A40" s="4" t="s">
        <v>25</v>
      </c>
      <c r="B40" s="4"/>
      <c r="C40" s="4" t="s">
        <v>81</v>
      </c>
      <c r="D40" s="4" t="s">
        <v>147</v>
      </c>
      <c r="E40" s="4" t="s">
        <v>185</v>
      </c>
      <c r="F40" s="15">
        <v>39.98</v>
      </c>
      <c r="G40" s="15"/>
      <c r="H40" s="15">
        <f>ROUND(F40*AD40,2)</f>
        <v>0</v>
      </c>
      <c r="I40" s="15">
        <f>J40-H40</f>
        <v>0</v>
      </c>
      <c r="J40" s="15">
        <f>ROUND(F40*G40,2)</f>
        <v>0</v>
      </c>
      <c r="K40" s="15">
        <v>0.068</v>
      </c>
      <c r="L40" s="15">
        <f>F40*K40</f>
        <v>2.71864</v>
      </c>
      <c r="M40" s="25" t="s">
        <v>9</v>
      </c>
      <c r="N40" s="15">
        <f>IF(M40="5",I40,0)</f>
        <v>0</v>
      </c>
      <c r="Y40" s="15">
        <f>IF(AC40=0,J40,0)</f>
        <v>0</v>
      </c>
      <c r="Z40" s="15">
        <f>IF(AC40=15,J40,0)</f>
        <v>0</v>
      </c>
      <c r="AA40" s="15">
        <f>IF(AC40=21,J40,0)</f>
        <v>0</v>
      </c>
      <c r="AC40" s="29">
        <v>21</v>
      </c>
      <c r="AD40" s="29">
        <f>G40*0</f>
        <v>0</v>
      </c>
      <c r="AE40" s="29">
        <f>G40*(1-0)</f>
        <v>0</v>
      </c>
      <c r="AL40" s="29">
        <f>F40*AD40</f>
        <v>0</v>
      </c>
      <c r="AM40" s="29">
        <f>F40*AE40</f>
        <v>0</v>
      </c>
      <c r="AN40" s="30" t="s">
        <v>230</v>
      </c>
      <c r="AO40" s="30" t="s">
        <v>246</v>
      </c>
      <c r="AP40" s="24" t="s">
        <v>249</v>
      </c>
    </row>
    <row r="41" spans="1:42" ht="12.75">
      <c r="A41" s="4" t="s">
        <v>26</v>
      </c>
      <c r="B41" s="4"/>
      <c r="C41" s="4" t="s">
        <v>82</v>
      </c>
      <c r="D41" s="4" t="s">
        <v>148</v>
      </c>
      <c r="E41" s="4" t="s">
        <v>185</v>
      </c>
      <c r="F41" s="15">
        <v>39.98</v>
      </c>
      <c r="G41" s="15"/>
      <c r="H41" s="15">
        <f>ROUND(F41*AD41,2)</f>
        <v>0</v>
      </c>
      <c r="I41" s="15">
        <f>J41-H41</f>
        <v>0</v>
      </c>
      <c r="J41" s="15">
        <f>ROUND(F41*G41,2)</f>
        <v>0</v>
      </c>
      <c r="K41" s="15">
        <v>0</v>
      </c>
      <c r="L41" s="15">
        <f>F41*K41</f>
        <v>0</v>
      </c>
      <c r="M41" s="25" t="s">
        <v>7</v>
      </c>
      <c r="N41" s="15">
        <f>IF(M41="5",I41,0)</f>
        <v>0</v>
      </c>
      <c r="Y41" s="15">
        <f>IF(AC41=0,J41,0)</f>
        <v>0</v>
      </c>
      <c r="Z41" s="15">
        <f>IF(AC41=15,J41,0)</f>
        <v>0</v>
      </c>
      <c r="AA41" s="15">
        <f>IF(AC41=21,J41,0)</f>
        <v>0</v>
      </c>
      <c r="AC41" s="29">
        <v>21</v>
      </c>
      <c r="AD41" s="29">
        <f>G41*0</f>
        <v>0</v>
      </c>
      <c r="AE41" s="29">
        <f>G41*(1-0)</f>
        <v>0</v>
      </c>
      <c r="AL41" s="29">
        <f>F41*AD41</f>
        <v>0</v>
      </c>
      <c r="AM41" s="29">
        <f>F41*AE41</f>
        <v>0</v>
      </c>
      <c r="AN41" s="30" t="s">
        <v>230</v>
      </c>
      <c r="AO41" s="30" t="s">
        <v>246</v>
      </c>
      <c r="AP41" s="24" t="s">
        <v>249</v>
      </c>
    </row>
    <row r="42" spans="1:42" ht="12.75">
      <c r="A42" s="4" t="s">
        <v>27</v>
      </c>
      <c r="B42" s="4"/>
      <c r="C42" s="4" t="s">
        <v>83</v>
      </c>
      <c r="D42" s="4" t="s">
        <v>149</v>
      </c>
      <c r="E42" s="4" t="s">
        <v>185</v>
      </c>
      <c r="F42" s="15">
        <v>67.28</v>
      </c>
      <c r="G42" s="15"/>
      <c r="H42" s="15">
        <f>ROUND(F42*AD42,2)</f>
        <v>0</v>
      </c>
      <c r="I42" s="15">
        <f>J42-H42</f>
        <v>0</v>
      </c>
      <c r="J42" s="15">
        <f>ROUND(F42*G42,2)</f>
        <v>0</v>
      </c>
      <c r="K42" s="15">
        <v>0</v>
      </c>
      <c r="L42" s="15">
        <f>F42*K42</f>
        <v>0</v>
      </c>
      <c r="M42" s="25" t="s">
        <v>7</v>
      </c>
      <c r="N42" s="15">
        <f>IF(M42="5",I42,0)</f>
        <v>0</v>
      </c>
      <c r="Y42" s="15">
        <f>IF(AC42=0,J42,0)</f>
        <v>0</v>
      </c>
      <c r="Z42" s="15">
        <f>IF(AC42=15,J42,0)</f>
        <v>0</v>
      </c>
      <c r="AA42" s="15">
        <f>IF(AC42=21,J42,0)</f>
        <v>0</v>
      </c>
      <c r="AC42" s="29">
        <v>21</v>
      </c>
      <c r="AD42" s="29">
        <f>G42*0</f>
        <v>0</v>
      </c>
      <c r="AE42" s="29">
        <f>G42*(1-0)</f>
        <v>0</v>
      </c>
      <c r="AL42" s="29">
        <f>F42*AD42</f>
        <v>0</v>
      </c>
      <c r="AM42" s="29">
        <f>F42*AE42</f>
        <v>0</v>
      </c>
      <c r="AN42" s="30" t="s">
        <v>230</v>
      </c>
      <c r="AO42" s="30" t="s">
        <v>246</v>
      </c>
      <c r="AP42" s="24" t="s">
        <v>249</v>
      </c>
    </row>
    <row r="43" spans="1:36" ht="12.75">
      <c r="A43" s="5"/>
      <c r="B43" s="12"/>
      <c r="C43" s="12" t="s">
        <v>84</v>
      </c>
      <c r="D43" s="72" t="s">
        <v>150</v>
      </c>
      <c r="E43" s="73"/>
      <c r="F43" s="73"/>
      <c r="G43" s="73"/>
      <c r="H43" s="32">
        <f>SUM(H44:H44)</f>
        <v>0</v>
      </c>
      <c r="I43" s="32">
        <f>SUM(I44:I44)</f>
        <v>0</v>
      </c>
      <c r="J43" s="32">
        <f>H43+I43</f>
        <v>0</v>
      </c>
      <c r="K43" s="24"/>
      <c r="L43" s="32">
        <f>SUM(L44:L44)</f>
        <v>0</v>
      </c>
      <c r="O43" s="32">
        <f>IF(P43="PR",J43,SUM(N44:N44))</f>
        <v>0</v>
      </c>
      <c r="P43" s="24" t="s">
        <v>210</v>
      </c>
      <c r="Q43" s="32">
        <f>IF(P43="HS",H43,0)</f>
        <v>0</v>
      </c>
      <c r="R43" s="32">
        <f>IF(P43="HS",I43-O43,0)</f>
        <v>0</v>
      </c>
      <c r="S43" s="32">
        <f>IF(P43="PS",H43,0)</f>
        <v>0</v>
      </c>
      <c r="T43" s="32">
        <f>IF(P43="PS",I43-O43,0)</f>
        <v>0</v>
      </c>
      <c r="U43" s="32">
        <f>IF(P43="MP",H43,0)</f>
        <v>0</v>
      </c>
      <c r="V43" s="32">
        <f>IF(P43="MP",I43-O43,0)</f>
        <v>0</v>
      </c>
      <c r="W43" s="32">
        <f>IF(P43="OM",H43,0)</f>
        <v>0</v>
      </c>
      <c r="X43" s="24"/>
      <c r="AH43" s="32">
        <f>SUM(Y44:Y44)</f>
        <v>0</v>
      </c>
      <c r="AI43" s="32">
        <f>SUM(Z44:Z44)</f>
        <v>0</v>
      </c>
      <c r="AJ43" s="32">
        <f>SUM(AA44:AA44)</f>
        <v>0</v>
      </c>
    </row>
    <row r="44" spans="1:42" ht="12.75">
      <c r="A44" s="4" t="s">
        <v>28</v>
      </c>
      <c r="B44" s="4"/>
      <c r="C44" s="4" t="s">
        <v>85</v>
      </c>
      <c r="D44" s="4" t="s">
        <v>151</v>
      </c>
      <c r="E44" s="4" t="s">
        <v>187</v>
      </c>
      <c r="F44" s="15">
        <v>5</v>
      </c>
      <c r="G44" s="15"/>
      <c r="H44" s="15">
        <f>ROUND(F44*AD44,2)</f>
        <v>0</v>
      </c>
      <c r="I44" s="15">
        <f>J44-H44</f>
        <v>0</v>
      </c>
      <c r="J44" s="15">
        <f>ROUND(F44*G44,2)</f>
        <v>0</v>
      </c>
      <c r="K44" s="15">
        <v>0</v>
      </c>
      <c r="L44" s="15">
        <f>F44*K44</f>
        <v>0</v>
      </c>
      <c r="M44" s="25" t="s">
        <v>7</v>
      </c>
      <c r="N44" s="15">
        <f>IF(M44="5",I44,0)</f>
        <v>0</v>
      </c>
      <c r="Y44" s="15">
        <f>IF(AC44=0,J44,0)</f>
        <v>0</v>
      </c>
      <c r="Z44" s="15">
        <f>IF(AC44=15,J44,0)</f>
        <v>0</v>
      </c>
      <c r="AA44" s="15">
        <f>IF(AC44=21,J44,0)</f>
        <v>0</v>
      </c>
      <c r="AC44" s="29">
        <v>21</v>
      </c>
      <c r="AD44" s="29">
        <f>G44*0</f>
        <v>0</v>
      </c>
      <c r="AE44" s="29">
        <f>G44*(1-0)</f>
        <v>0</v>
      </c>
      <c r="AL44" s="29">
        <f>F44*AD44</f>
        <v>0</v>
      </c>
      <c r="AM44" s="29">
        <f>F44*AE44</f>
        <v>0</v>
      </c>
      <c r="AN44" s="30" t="s">
        <v>231</v>
      </c>
      <c r="AO44" s="30" t="s">
        <v>246</v>
      </c>
      <c r="AP44" s="24" t="s">
        <v>249</v>
      </c>
    </row>
    <row r="45" spans="1:36" ht="12.75">
      <c r="A45" s="5"/>
      <c r="B45" s="12"/>
      <c r="C45" s="12" t="s">
        <v>86</v>
      </c>
      <c r="D45" s="72" t="s">
        <v>152</v>
      </c>
      <c r="E45" s="73"/>
      <c r="F45" s="73"/>
      <c r="G45" s="73"/>
      <c r="H45" s="32">
        <f>SUM(H46:H48)</f>
        <v>0</v>
      </c>
      <c r="I45" s="32">
        <f>SUM(I46:I48)</f>
        <v>0</v>
      </c>
      <c r="J45" s="32">
        <f>H45+I45</f>
        <v>0</v>
      </c>
      <c r="K45" s="24"/>
      <c r="L45" s="32">
        <f>SUM(L46:L48)</f>
        <v>0.0399272</v>
      </c>
      <c r="O45" s="32">
        <f>IF(P45="PR",J45,SUM(N46:N48))</f>
        <v>0</v>
      </c>
      <c r="P45" s="24" t="s">
        <v>210</v>
      </c>
      <c r="Q45" s="32">
        <f>IF(P45="HS",H45,0)</f>
        <v>0</v>
      </c>
      <c r="R45" s="32">
        <f>IF(P45="HS",I45-O45,0)</f>
        <v>0</v>
      </c>
      <c r="S45" s="32">
        <f>IF(P45="PS",H45,0)</f>
        <v>0</v>
      </c>
      <c r="T45" s="32">
        <f>IF(P45="PS",I45-O45,0)</f>
        <v>0</v>
      </c>
      <c r="U45" s="32">
        <f>IF(P45="MP",H45,0)</f>
        <v>0</v>
      </c>
      <c r="V45" s="32">
        <f>IF(P45="MP",I45-O45,0)</f>
        <v>0</v>
      </c>
      <c r="W45" s="32">
        <f>IF(P45="OM",H45,0)</f>
        <v>0</v>
      </c>
      <c r="X45" s="24"/>
      <c r="AH45" s="32">
        <f>SUM(Y46:Y48)</f>
        <v>0</v>
      </c>
      <c r="AI45" s="32">
        <f>SUM(Z46:Z48)</f>
        <v>0</v>
      </c>
      <c r="AJ45" s="32">
        <f>SUM(AA46:AA48)</f>
        <v>0</v>
      </c>
    </row>
    <row r="46" spans="1:42" ht="12.75">
      <c r="A46" s="4" t="s">
        <v>29</v>
      </c>
      <c r="B46" s="4"/>
      <c r="C46" s="4" t="s">
        <v>87</v>
      </c>
      <c r="D46" s="4" t="s">
        <v>145</v>
      </c>
      <c r="E46" s="4" t="s">
        <v>185</v>
      </c>
      <c r="F46" s="15">
        <v>79.76</v>
      </c>
      <c r="G46" s="15"/>
      <c r="H46" s="15">
        <f>ROUND(F46*AD46,2)</f>
        <v>0</v>
      </c>
      <c r="I46" s="15">
        <f>J46-H46</f>
        <v>0</v>
      </c>
      <c r="J46" s="15">
        <f>ROUND(F46*G46,2)</f>
        <v>0</v>
      </c>
      <c r="K46" s="15">
        <v>0.00017</v>
      </c>
      <c r="L46" s="15">
        <f>F46*K46</f>
        <v>0.013559200000000002</v>
      </c>
      <c r="M46" s="25" t="s">
        <v>7</v>
      </c>
      <c r="N46" s="15">
        <f>IF(M46="5",I46,0)</f>
        <v>0</v>
      </c>
      <c r="Y46" s="15">
        <f>IF(AC46=0,J46,0)</f>
        <v>0</v>
      </c>
      <c r="Z46" s="15">
        <f>IF(AC46=15,J46,0)</f>
        <v>0</v>
      </c>
      <c r="AA46" s="15">
        <f>IF(AC46=21,J46,0)</f>
        <v>0</v>
      </c>
      <c r="AC46" s="29">
        <v>21</v>
      </c>
      <c r="AD46" s="29">
        <f>G46*0.424764890282132</f>
        <v>0</v>
      </c>
      <c r="AE46" s="29">
        <f>G46*(1-0.424764890282132)</f>
        <v>0</v>
      </c>
      <c r="AL46" s="29">
        <f>F46*AD46</f>
        <v>0</v>
      </c>
      <c r="AM46" s="29">
        <f>F46*AE46</f>
        <v>0</v>
      </c>
      <c r="AN46" s="30" t="s">
        <v>232</v>
      </c>
      <c r="AO46" s="30" t="s">
        <v>246</v>
      </c>
      <c r="AP46" s="24" t="s">
        <v>249</v>
      </c>
    </row>
    <row r="47" spans="1:42" ht="12.75">
      <c r="A47" s="4" t="s">
        <v>30</v>
      </c>
      <c r="B47" s="4"/>
      <c r="C47" s="4" t="s">
        <v>88</v>
      </c>
      <c r="D47" s="4" t="s">
        <v>153</v>
      </c>
      <c r="E47" s="4" t="s">
        <v>185</v>
      </c>
      <c r="F47" s="15">
        <v>41.2</v>
      </c>
      <c r="G47" s="15"/>
      <c r="H47" s="15">
        <f>ROUND(F47*AD47,2)</f>
        <v>0</v>
      </c>
      <c r="I47" s="15">
        <f>J47-H47</f>
        <v>0</v>
      </c>
      <c r="J47" s="15">
        <f>ROUND(F47*G47,2)</f>
        <v>0</v>
      </c>
      <c r="K47" s="15">
        <v>0</v>
      </c>
      <c r="L47" s="15">
        <f>F47*K47</f>
        <v>0</v>
      </c>
      <c r="M47" s="25" t="s">
        <v>7</v>
      </c>
      <c r="N47" s="15">
        <f>IF(M47="5",I47,0)</f>
        <v>0</v>
      </c>
      <c r="Y47" s="15">
        <f>IF(AC47=0,J47,0)</f>
        <v>0</v>
      </c>
      <c r="Z47" s="15">
        <f>IF(AC47=15,J47,0)</f>
        <v>0</v>
      </c>
      <c r="AA47" s="15">
        <f>IF(AC47=21,J47,0)</f>
        <v>0</v>
      </c>
      <c r="AC47" s="29">
        <v>21</v>
      </c>
      <c r="AD47" s="29">
        <f>G47*0.00389389145777561</f>
        <v>0</v>
      </c>
      <c r="AE47" s="29">
        <f>G47*(1-0.00389389145777561)</f>
        <v>0</v>
      </c>
      <c r="AL47" s="29">
        <f>F47*AD47</f>
        <v>0</v>
      </c>
      <c r="AM47" s="29">
        <f>F47*AE47</f>
        <v>0</v>
      </c>
      <c r="AN47" s="30" t="s">
        <v>232</v>
      </c>
      <c r="AO47" s="30" t="s">
        <v>246</v>
      </c>
      <c r="AP47" s="24" t="s">
        <v>249</v>
      </c>
    </row>
    <row r="48" spans="1:42" ht="12.75">
      <c r="A48" s="4" t="s">
        <v>31</v>
      </c>
      <c r="B48" s="4"/>
      <c r="C48" s="4" t="s">
        <v>89</v>
      </c>
      <c r="D48" s="4" t="s">
        <v>154</v>
      </c>
      <c r="E48" s="4" t="s">
        <v>185</v>
      </c>
      <c r="F48" s="15">
        <v>41.2</v>
      </c>
      <c r="G48" s="15"/>
      <c r="H48" s="15">
        <f>ROUND(F48*AD48,2)</f>
        <v>0</v>
      </c>
      <c r="I48" s="15">
        <f>J48-H48</f>
        <v>0</v>
      </c>
      <c r="J48" s="15">
        <f>ROUND(F48*G48,2)</f>
        <v>0</v>
      </c>
      <c r="K48" s="15">
        <v>0.00064</v>
      </c>
      <c r="L48" s="15">
        <f>F48*K48</f>
        <v>0.026368000000000003</v>
      </c>
      <c r="M48" s="25" t="s">
        <v>7</v>
      </c>
      <c r="N48" s="15">
        <f>IF(M48="5",I48,0)</f>
        <v>0</v>
      </c>
      <c r="Y48" s="15">
        <f>IF(AC48=0,J48,0)</f>
        <v>0</v>
      </c>
      <c r="Z48" s="15">
        <f>IF(AC48=15,J48,0)</f>
        <v>0</v>
      </c>
      <c r="AA48" s="15">
        <f>IF(AC48=21,J48,0)</f>
        <v>0</v>
      </c>
      <c r="AC48" s="29">
        <v>21</v>
      </c>
      <c r="AD48" s="29">
        <f>G48*0.326788685524126</f>
        <v>0</v>
      </c>
      <c r="AE48" s="29">
        <f>G48*(1-0.326788685524126)</f>
        <v>0</v>
      </c>
      <c r="AL48" s="29">
        <f>F48*AD48</f>
        <v>0</v>
      </c>
      <c r="AM48" s="29">
        <f>F48*AE48</f>
        <v>0</v>
      </c>
      <c r="AN48" s="30" t="s">
        <v>232</v>
      </c>
      <c r="AO48" s="30" t="s">
        <v>246</v>
      </c>
      <c r="AP48" s="24" t="s">
        <v>249</v>
      </c>
    </row>
    <row r="49" spans="1:36" ht="12.75">
      <c r="A49" s="5"/>
      <c r="B49" s="12"/>
      <c r="C49" s="12" t="s">
        <v>90</v>
      </c>
      <c r="D49" s="72" t="s">
        <v>155</v>
      </c>
      <c r="E49" s="73"/>
      <c r="F49" s="73"/>
      <c r="G49" s="73"/>
      <c r="H49" s="32">
        <f>SUM(H50:H50)</f>
        <v>0</v>
      </c>
      <c r="I49" s="32">
        <f>SUM(I50:I50)</f>
        <v>0</v>
      </c>
      <c r="J49" s="32">
        <f>H49+I49</f>
        <v>0</v>
      </c>
      <c r="K49" s="24"/>
      <c r="L49" s="32">
        <f>SUM(L50:L50)</f>
        <v>0.0726</v>
      </c>
      <c r="O49" s="32">
        <f>IF(P49="PR",J49,SUM(N50:N50))</f>
        <v>0</v>
      </c>
      <c r="P49" s="24" t="s">
        <v>209</v>
      </c>
      <c r="Q49" s="32">
        <f>IF(P49="HS",H49,0)</f>
        <v>0</v>
      </c>
      <c r="R49" s="32">
        <f>IF(P49="HS",I49-O49,0)</f>
        <v>0</v>
      </c>
      <c r="S49" s="32">
        <f>IF(P49="PS",H49,0)</f>
        <v>0</v>
      </c>
      <c r="T49" s="32">
        <f>IF(P49="PS",I49-O49,0)</f>
        <v>0</v>
      </c>
      <c r="U49" s="32">
        <f>IF(P49="MP",H49,0)</f>
        <v>0</v>
      </c>
      <c r="V49" s="32">
        <f>IF(P49="MP",I49-O49,0)</f>
        <v>0</v>
      </c>
      <c r="W49" s="32">
        <f>IF(P49="OM",H49,0)</f>
        <v>0</v>
      </c>
      <c r="X49" s="24"/>
      <c r="AH49" s="32">
        <f>SUM(Y50:Y50)</f>
        <v>0</v>
      </c>
      <c r="AI49" s="32">
        <f>SUM(Z50:Z50)</f>
        <v>0</v>
      </c>
      <c r="AJ49" s="32">
        <f>SUM(AA50:AA50)</f>
        <v>0</v>
      </c>
    </row>
    <row r="50" spans="1:42" ht="12.75">
      <c r="A50" s="4" t="s">
        <v>32</v>
      </c>
      <c r="B50" s="4"/>
      <c r="C50" s="4" t="s">
        <v>91</v>
      </c>
      <c r="D50" s="4" t="s">
        <v>156</v>
      </c>
      <c r="E50" s="4" t="s">
        <v>185</v>
      </c>
      <c r="F50" s="15">
        <v>60</v>
      </c>
      <c r="G50" s="15"/>
      <c r="H50" s="15">
        <f>ROUND(F50*AD50,2)</f>
        <v>0</v>
      </c>
      <c r="I50" s="15">
        <f>J50-H50</f>
        <v>0</v>
      </c>
      <c r="J50" s="15">
        <f>ROUND(F50*G50,2)</f>
        <v>0</v>
      </c>
      <c r="K50" s="15">
        <v>0.00121</v>
      </c>
      <c r="L50" s="15">
        <f>F50*K50</f>
        <v>0.0726</v>
      </c>
      <c r="M50" s="25" t="s">
        <v>7</v>
      </c>
      <c r="N50" s="15">
        <f>IF(M50="5",I50,0)</f>
        <v>0</v>
      </c>
      <c r="Y50" s="15">
        <f>IF(AC50=0,J50,0)</f>
        <v>0</v>
      </c>
      <c r="Z50" s="15">
        <f>IF(AC50=15,J50,0)</f>
        <v>0</v>
      </c>
      <c r="AA50" s="15">
        <f>IF(AC50=21,J50,0)</f>
        <v>0</v>
      </c>
      <c r="AC50" s="29">
        <v>21</v>
      </c>
      <c r="AD50" s="29">
        <f>G50*0.483086956521739</f>
        <v>0</v>
      </c>
      <c r="AE50" s="29">
        <f>G50*(1-0.483086956521739)</f>
        <v>0</v>
      </c>
      <c r="AL50" s="29">
        <f>F50*AD50</f>
        <v>0</v>
      </c>
      <c r="AM50" s="29">
        <f>F50*AE50</f>
        <v>0</v>
      </c>
      <c r="AN50" s="30" t="s">
        <v>233</v>
      </c>
      <c r="AO50" s="30" t="s">
        <v>247</v>
      </c>
      <c r="AP50" s="24" t="s">
        <v>249</v>
      </c>
    </row>
    <row r="51" spans="1:36" ht="12.75">
      <c r="A51" s="5"/>
      <c r="B51" s="12"/>
      <c r="C51" s="12" t="s">
        <v>92</v>
      </c>
      <c r="D51" s="72" t="s">
        <v>157</v>
      </c>
      <c r="E51" s="73"/>
      <c r="F51" s="73"/>
      <c r="G51" s="73"/>
      <c r="H51" s="32">
        <f>SUM(H52:H55)</f>
        <v>0</v>
      </c>
      <c r="I51" s="32">
        <f>SUM(I52:I55)</f>
        <v>0</v>
      </c>
      <c r="J51" s="32">
        <f>H51+I51</f>
        <v>0</v>
      </c>
      <c r="K51" s="24"/>
      <c r="L51" s="32">
        <f>SUM(L52:L55)</f>
        <v>2.9490971000000004</v>
      </c>
      <c r="O51" s="32">
        <f>IF(P51="PR",J51,SUM(N52:N55))</f>
        <v>0</v>
      </c>
      <c r="P51" s="24" t="s">
        <v>209</v>
      </c>
      <c r="Q51" s="32">
        <f>IF(P51="HS",H51,0)</f>
        <v>0</v>
      </c>
      <c r="R51" s="32">
        <f>IF(P51="HS",I51-O51,0)</f>
        <v>0</v>
      </c>
      <c r="S51" s="32">
        <f>IF(P51="PS",H51,0)</f>
        <v>0</v>
      </c>
      <c r="T51" s="32">
        <f>IF(P51="PS",I51-O51,0)</f>
        <v>0</v>
      </c>
      <c r="U51" s="32">
        <f>IF(P51="MP",H51,0)</f>
        <v>0</v>
      </c>
      <c r="V51" s="32">
        <f>IF(P51="MP",I51-O51,0)</f>
        <v>0</v>
      </c>
      <c r="W51" s="32">
        <f>IF(P51="OM",H51,0)</f>
        <v>0</v>
      </c>
      <c r="X51" s="24"/>
      <c r="AH51" s="32">
        <f>SUM(Y52:Y55)</f>
        <v>0</v>
      </c>
      <c r="AI51" s="32">
        <f>SUM(Z52:Z55)</f>
        <v>0</v>
      </c>
      <c r="AJ51" s="32">
        <f>SUM(AA52:AA55)</f>
        <v>0</v>
      </c>
    </row>
    <row r="52" spans="1:42" ht="12.75">
      <c r="A52" s="4" t="s">
        <v>33</v>
      </c>
      <c r="B52" s="4"/>
      <c r="C52" s="4" t="s">
        <v>93</v>
      </c>
      <c r="D52" s="4" t="s">
        <v>158</v>
      </c>
      <c r="E52" s="4" t="s">
        <v>185</v>
      </c>
      <c r="F52" s="15">
        <v>14.13</v>
      </c>
      <c r="G52" s="15"/>
      <c r="H52" s="15">
        <f>ROUND(F52*AD52,2)</f>
        <v>0</v>
      </c>
      <c r="I52" s="15">
        <f>J52-H52</f>
        <v>0</v>
      </c>
      <c r="J52" s="15">
        <f>ROUND(F52*G52,2)</f>
        <v>0</v>
      </c>
      <c r="K52" s="15">
        <v>0.13167</v>
      </c>
      <c r="L52" s="15">
        <f>F52*K52</f>
        <v>1.8604971000000001</v>
      </c>
      <c r="M52" s="25" t="s">
        <v>7</v>
      </c>
      <c r="N52" s="15">
        <f>IF(M52="5",I52,0)</f>
        <v>0</v>
      </c>
      <c r="Y52" s="15">
        <f>IF(AC52=0,J52,0)</f>
        <v>0</v>
      </c>
      <c r="Z52" s="15">
        <f>IF(AC52=15,J52,0)</f>
        <v>0</v>
      </c>
      <c r="AA52" s="15">
        <f>IF(AC52=21,J52,0)</f>
        <v>0</v>
      </c>
      <c r="AC52" s="29">
        <v>21</v>
      </c>
      <c r="AD52" s="29">
        <f>G52*0.189247311827957</f>
        <v>0</v>
      </c>
      <c r="AE52" s="29">
        <f>G52*(1-0.189247311827957)</f>
        <v>0</v>
      </c>
      <c r="AL52" s="29">
        <f>F52*AD52</f>
        <v>0</v>
      </c>
      <c r="AM52" s="29">
        <f>F52*AE52</f>
        <v>0</v>
      </c>
      <c r="AN52" s="30" t="s">
        <v>234</v>
      </c>
      <c r="AO52" s="30" t="s">
        <v>247</v>
      </c>
      <c r="AP52" s="24" t="s">
        <v>249</v>
      </c>
    </row>
    <row r="53" spans="1:42" ht="12.75">
      <c r="A53" s="4" t="s">
        <v>34</v>
      </c>
      <c r="B53" s="4"/>
      <c r="C53" s="4" t="s">
        <v>94</v>
      </c>
      <c r="D53" s="4" t="s">
        <v>159</v>
      </c>
      <c r="E53" s="4" t="s">
        <v>190</v>
      </c>
      <c r="F53" s="15">
        <v>0.46</v>
      </c>
      <c r="G53" s="15"/>
      <c r="H53" s="15">
        <f>ROUND(F53*AD53,2)</f>
        <v>0</v>
      </c>
      <c r="I53" s="15">
        <f>J53-H53</f>
        <v>0</v>
      </c>
      <c r="J53" s="15">
        <f>ROUND(F53*G53,2)</f>
        <v>0</v>
      </c>
      <c r="K53" s="15">
        <v>2.2</v>
      </c>
      <c r="L53" s="15">
        <f>F53*K53</f>
        <v>1.0120000000000002</v>
      </c>
      <c r="M53" s="25" t="s">
        <v>7</v>
      </c>
      <c r="N53" s="15">
        <f>IF(M53="5",I53,0)</f>
        <v>0</v>
      </c>
      <c r="Y53" s="15">
        <f>IF(AC53=0,J53,0)</f>
        <v>0</v>
      </c>
      <c r="Z53" s="15">
        <f>IF(AC53=15,J53,0)</f>
        <v>0</v>
      </c>
      <c r="AA53" s="15">
        <f>IF(AC53=21,J53,0)</f>
        <v>0</v>
      </c>
      <c r="AC53" s="29">
        <v>21</v>
      </c>
      <c r="AD53" s="29">
        <f>G53*0</f>
        <v>0</v>
      </c>
      <c r="AE53" s="29">
        <f>G53*(1-0)</f>
        <v>0</v>
      </c>
      <c r="AL53" s="29">
        <f>F53*AD53</f>
        <v>0</v>
      </c>
      <c r="AM53" s="29">
        <f>F53*AE53</f>
        <v>0</v>
      </c>
      <c r="AN53" s="30" t="s">
        <v>234</v>
      </c>
      <c r="AO53" s="30" t="s">
        <v>247</v>
      </c>
      <c r="AP53" s="24" t="s">
        <v>249</v>
      </c>
    </row>
    <row r="54" spans="1:42" ht="12.75">
      <c r="A54" s="4" t="s">
        <v>35</v>
      </c>
      <c r="B54" s="4"/>
      <c r="C54" s="4" t="s">
        <v>95</v>
      </c>
      <c r="D54" s="4" t="s">
        <v>160</v>
      </c>
      <c r="E54" s="4" t="s">
        <v>185</v>
      </c>
      <c r="F54" s="15">
        <v>3.83</v>
      </c>
      <c r="G54" s="15"/>
      <c r="H54" s="15">
        <f>ROUND(F54*AD54,2)</f>
        <v>0</v>
      </c>
      <c r="I54" s="15">
        <f>J54-H54</f>
        <v>0</v>
      </c>
      <c r="J54" s="15">
        <f>ROUND(F54*G54,2)</f>
        <v>0</v>
      </c>
      <c r="K54" s="15">
        <v>0.02</v>
      </c>
      <c r="L54" s="15">
        <f>F54*K54</f>
        <v>0.0766</v>
      </c>
      <c r="M54" s="25" t="s">
        <v>7</v>
      </c>
      <c r="N54" s="15">
        <f>IF(M54="5",I54,0)</f>
        <v>0</v>
      </c>
      <c r="Y54" s="15">
        <f>IF(AC54=0,J54,0)</f>
        <v>0</v>
      </c>
      <c r="Z54" s="15">
        <f>IF(AC54=15,J54,0)</f>
        <v>0</v>
      </c>
      <c r="AA54" s="15">
        <f>IF(AC54=21,J54,0)</f>
        <v>0</v>
      </c>
      <c r="AC54" s="29">
        <v>21</v>
      </c>
      <c r="AD54" s="29">
        <f>G54*0</f>
        <v>0</v>
      </c>
      <c r="AE54" s="29">
        <f>G54*(1-0)</f>
        <v>0</v>
      </c>
      <c r="AL54" s="29">
        <f>F54*AD54</f>
        <v>0</v>
      </c>
      <c r="AM54" s="29">
        <f>F54*AE54</f>
        <v>0</v>
      </c>
      <c r="AN54" s="30" t="s">
        <v>234</v>
      </c>
      <c r="AO54" s="30" t="s">
        <v>247</v>
      </c>
      <c r="AP54" s="24" t="s">
        <v>249</v>
      </c>
    </row>
    <row r="55" spans="1:42" ht="12.75">
      <c r="A55" s="4" t="s">
        <v>36</v>
      </c>
      <c r="B55" s="4"/>
      <c r="C55" s="4" t="s">
        <v>96</v>
      </c>
      <c r="D55" s="4" t="s">
        <v>161</v>
      </c>
      <c r="E55" s="4" t="s">
        <v>185</v>
      </c>
      <c r="F55" s="15">
        <v>3.83</v>
      </c>
      <c r="G55" s="15"/>
      <c r="H55" s="15">
        <f>ROUND(F55*AD55,2)</f>
        <v>0</v>
      </c>
      <c r="I55" s="15">
        <f>J55-H55</f>
        <v>0</v>
      </c>
      <c r="J55" s="15">
        <f>ROUND(F55*G55,2)</f>
        <v>0</v>
      </c>
      <c r="K55" s="15">
        <v>0</v>
      </c>
      <c r="L55" s="15">
        <f>F55*K55</f>
        <v>0</v>
      </c>
      <c r="M55" s="25" t="s">
        <v>7</v>
      </c>
      <c r="N55" s="15">
        <f>IF(M55="5",I55,0)</f>
        <v>0</v>
      </c>
      <c r="Y55" s="15">
        <f>IF(AC55=0,J55,0)</f>
        <v>0</v>
      </c>
      <c r="Z55" s="15">
        <f>IF(AC55=15,J55,0)</f>
        <v>0</v>
      </c>
      <c r="AA55" s="15">
        <f>IF(AC55=21,J55,0)</f>
        <v>0</v>
      </c>
      <c r="AC55" s="29">
        <v>21</v>
      </c>
      <c r="AD55" s="29">
        <f>G55*0</f>
        <v>0</v>
      </c>
      <c r="AE55" s="29">
        <f>G55*(1-0)</f>
        <v>0</v>
      </c>
      <c r="AL55" s="29">
        <f>F55*AD55</f>
        <v>0</v>
      </c>
      <c r="AM55" s="29">
        <f>F55*AE55</f>
        <v>0</v>
      </c>
      <c r="AN55" s="30" t="s">
        <v>234</v>
      </c>
      <c r="AO55" s="30" t="s">
        <v>247</v>
      </c>
      <c r="AP55" s="24" t="s">
        <v>249</v>
      </c>
    </row>
    <row r="56" spans="1:36" ht="12.75">
      <c r="A56" s="5"/>
      <c r="B56" s="12"/>
      <c r="C56" s="12" t="s">
        <v>97</v>
      </c>
      <c r="D56" s="72" t="s">
        <v>162</v>
      </c>
      <c r="E56" s="73"/>
      <c r="F56" s="73"/>
      <c r="G56" s="73"/>
      <c r="H56" s="32">
        <f>SUM(H57:H57)</f>
        <v>0</v>
      </c>
      <c r="I56" s="32">
        <f>SUM(I57:I57)</f>
        <v>0</v>
      </c>
      <c r="J56" s="32">
        <f>H56+I56</f>
        <v>0</v>
      </c>
      <c r="K56" s="24"/>
      <c r="L56" s="32">
        <f>SUM(L57:L57)</f>
        <v>1.85892</v>
      </c>
      <c r="O56" s="32">
        <f>IF(P56="PR",J56,SUM(N57:N57))</f>
        <v>0</v>
      </c>
      <c r="P56" s="24" t="s">
        <v>209</v>
      </c>
      <c r="Q56" s="32">
        <f>IF(P56="HS",H56,0)</f>
        <v>0</v>
      </c>
      <c r="R56" s="32">
        <f>IF(P56="HS",I56-O56,0)</f>
        <v>0</v>
      </c>
      <c r="S56" s="32">
        <f>IF(P56="PS",H56,0)</f>
        <v>0</v>
      </c>
      <c r="T56" s="32">
        <f>IF(P56="PS",I56-O56,0)</f>
        <v>0</v>
      </c>
      <c r="U56" s="32">
        <f>IF(P56="MP",H56,0)</f>
        <v>0</v>
      </c>
      <c r="V56" s="32">
        <f>IF(P56="MP",I56-O56,0)</f>
        <v>0</v>
      </c>
      <c r="W56" s="32">
        <f>IF(P56="OM",H56,0)</f>
        <v>0</v>
      </c>
      <c r="X56" s="24"/>
      <c r="AH56" s="32">
        <f>SUM(Y57:Y57)</f>
        <v>0</v>
      </c>
      <c r="AI56" s="32">
        <f>SUM(Z57:Z57)</f>
        <v>0</v>
      </c>
      <c r="AJ56" s="32">
        <f>SUM(AA57:AA57)</f>
        <v>0</v>
      </c>
    </row>
    <row r="57" spans="1:42" ht="12.75">
      <c r="A57" s="4" t="s">
        <v>37</v>
      </c>
      <c r="B57" s="4"/>
      <c r="C57" s="4" t="s">
        <v>98</v>
      </c>
      <c r="D57" s="4" t="s">
        <v>304</v>
      </c>
      <c r="E57" s="4" t="s">
        <v>187</v>
      </c>
      <c r="F57" s="15">
        <v>12</v>
      </c>
      <c r="G57" s="15"/>
      <c r="H57" s="15">
        <f>ROUND(F57*AD57,2)</f>
        <v>0</v>
      </c>
      <c r="I57" s="15">
        <f>J57-H57</f>
        <v>0</v>
      </c>
      <c r="J57" s="15">
        <f>ROUND(F57*G57,2)</f>
        <v>0</v>
      </c>
      <c r="K57" s="15">
        <v>0.15491</v>
      </c>
      <c r="L57" s="15">
        <f>F57*K57</f>
        <v>1.85892</v>
      </c>
      <c r="M57" s="25" t="s">
        <v>7</v>
      </c>
      <c r="N57" s="15">
        <f>IF(M57="5",I57,0)</f>
        <v>0</v>
      </c>
      <c r="Y57" s="15">
        <f>IF(AC57=0,J57,0)</f>
        <v>0</v>
      </c>
      <c r="Z57" s="15">
        <f>IF(AC57=15,J57,0)</f>
        <v>0</v>
      </c>
      <c r="AA57" s="15">
        <f>IF(AC57=21,J57,0)</f>
        <v>0</v>
      </c>
      <c r="AC57" s="29">
        <v>21</v>
      </c>
      <c r="AD57" s="29">
        <f>G57*0.0648267898383372</f>
        <v>0</v>
      </c>
      <c r="AE57" s="29">
        <f>G57*(1-0.0648267898383372)</f>
        <v>0</v>
      </c>
      <c r="AL57" s="29">
        <f>F57*AD57</f>
        <v>0</v>
      </c>
      <c r="AM57" s="29">
        <f>F57*AE57</f>
        <v>0</v>
      </c>
      <c r="AN57" s="30" t="s">
        <v>235</v>
      </c>
      <c r="AO57" s="30" t="s">
        <v>247</v>
      </c>
      <c r="AP57" s="24" t="s">
        <v>249</v>
      </c>
    </row>
    <row r="58" spans="1:36" ht="12.75">
      <c r="A58" s="5"/>
      <c r="B58" s="12"/>
      <c r="C58" s="12" t="s">
        <v>99</v>
      </c>
      <c r="D58" s="72"/>
      <c r="E58" s="73"/>
      <c r="F58" s="73"/>
      <c r="G58" s="73"/>
      <c r="H58" s="32">
        <f>SUM(H59:H59)</f>
        <v>0</v>
      </c>
      <c r="I58" s="32">
        <f>SUM(I59:I59)</f>
        <v>0</v>
      </c>
      <c r="J58" s="32">
        <f>H58+I58</f>
        <v>0</v>
      </c>
      <c r="K58" s="24"/>
      <c r="L58" s="32">
        <f>SUM(L59:L59)</f>
        <v>0</v>
      </c>
      <c r="O58" s="32">
        <f>IF(P58="PR",J58,SUM(N59:N59))</f>
        <v>0</v>
      </c>
      <c r="P58" s="24" t="s">
        <v>211</v>
      </c>
      <c r="Q58" s="32">
        <f>IF(P58="HS",H58,0)</f>
        <v>0</v>
      </c>
      <c r="R58" s="32">
        <f>IF(P58="HS",I58-O58,0)</f>
        <v>0</v>
      </c>
      <c r="S58" s="32">
        <f>IF(P58="PS",H58,0)</f>
        <v>0</v>
      </c>
      <c r="T58" s="32">
        <f>IF(P58="PS",I58-O58,0)</f>
        <v>0</v>
      </c>
      <c r="U58" s="32">
        <f>IF(P58="MP",H58,0)</f>
        <v>0</v>
      </c>
      <c r="V58" s="32">
        <f>IF(P58="MP",I58-O58,0)</f>
        <v>0</v>
      </c>
      <c r="W58" s="32">
        <f>IF(P58="OM",H58,0)</f>
        <v>0</v>
      </c>
      <c r="X58" s="24"/>
      <c r="AH58" s="32">
        <f>SUM(Y59:Y59)</f>
        <v>0</v>
      </c>
      <c r="AI58" s="32">
        <f>SUM(Z59:Z59)</f>
        <v>0</v>
      </c>
      <c r="AJ58" s="32">
        <f>SUM(AA59:AA59)</f>
        <v>0</v>
      </c>
    </row>
    <row r="59" spans="1:42" ht="12.75">
      <c r="A59" s="4" t="s">
        <v>38</v>
      </c>
      <c r="B59" s="4"/>
      <c r="C59" s="4" t="s">
        <v>100</v>
      </c>
      <c r="D59" s="4" t="s">
        <v>163</v>
      </c>
      <c r="E59" s="4" t="s">
        <v>191</v>
      </c>
      <c r="F59" s="15">
        <v>6</v>
      </c>
      <c r="G59" s="15"/>
      <c r="H59" s="15">
        <f>ROUND(F59*AD59,2)</f>
        <v>0</v>
      </c>
      <c r="I59" s="15">
        <f>J59-H59</f>
        <v>0</v>
      </c>
      <c r="J59" s="15">
        <f>ROUND(F59*G59,2)</f>
        <v>0</v>
      </c>
      <c r="K59" s="15">
        <v>0</v>
      </c>
      <c r="L59" s="15">
        <f>F59*K59</f>
        <v>0</v>
      </c>
      <c r="M59" s="25" t="s">
        <v>11</v>
      </c>
      <c r="N59" s="15">
        <f>IF(M59="5",I59,0)</f>
        <v>0</v>
      </c>
      <c r="Y59" s="15">
        <f>IF(AC59=0,J59,0)</f>
        <v>0</v>
      </c>
      <c r="Z59" s="15">
        <f>IF(AC59=15,J59,0)</f>
        <v>0</v>
      </c>
      <c r="AA59" s="15">
        <f>IF(AC59=21,J59,0)</f>
        <v>0</v>
      </c>
      <c r="AC59" s="29">
        <v>21</v>
      </c>
      <c r="AD59" s="29">
        <f>G59*0</f>
        <v>0</v>
      </c>
      <c r="AE59" s="29">
        <f>G59*(1-0)</f>
        <v>0</v>
      </c>
      <c r="AL59" s="29">
        <f>F59*AD59</f>
        <v>0</v>
      </c>
      <c r="AM59" s="29">
        <f>F59*AE59</f>
        <v>0</v>
      </c>
      <c r="AN59" s="30" t="s">
        <v>236</v>
      </c>
      <c r="AO59" s="30" t="s">
        <v>247</v>
      </c>
      <c r="AP59" s="24" t="s">
        <v>249</v>
      </c>
    </row>
    <row r="60" spans="1:36" ht="12.75">
      <c r="A60" s="5"/>
      <c r="B60" s="12"/>
      <c r="C60" s="12" t="s">
        <v>101</v>
      </c>
      <c r="D60" s="72" t="s">
        <v>164</v>
      </c>
      <c r="E60" s="73"/>
      <c r="F60" s="73"/>
      <c r="G60" s="73"/>
      <c r="H60" s="32">
        <f>SUM(H61:H61)</f>
        <v>0</v>
      </c>
      <c r="I60" s="32">
        <f>SUM(I61:I61)</f>
        <v>0</v>
      </c>
      <c r="J60" s="32">
        <f>H60+I60</f>
        <v>0</v>
      </c>
      <c r="K60" s="24"/>
      <c r="L60" s="32">
        <f>SUM(L61:L61)</f>
        <v>0.00095</v>
      </c>
      <c r="O60" s="32">
        <f>IF(P60="PR",J60,SUM(N61:N61))</f>
        <v>0</v>
      </c>
      <c r="P60" s="24" t="s">
        <v>212</v>
      </c>
      <c r="Q60" s="32">
        <f>IF(P60="HS",H60,0)</f>
        <v>0</v>
      </c>
      <c r="R60" s="32">
        <f>IF(P60="HS",I60-O60,0)</f>
        <v>0</v>
      </c>
      <c r="S60" s="32">
        <f>IF(P60="PS",H60,0)</f>
        <v>0</v>
      </c>
      <c r="T60" s="32">
        <f>IF(P60="PS",I60-O60,0)</f>
        <v>0</v>
      </c>
      <c r="U60" s="32">
        <f>IF(P60="MP",H60,0)</f>
        <v>0</v>
      </c>
      <c r="V60" s="32">
        <f>IF(P60="MP",I60-O60,0)</f>
        <v>0</v>
      </c>
      <c r="W60" s="32">
        <f>IF(P60="OM",H60,0)</f>
        <v>0</v>
      </c>
      <c r="X60" s="24"/>
      <c r="AH60" s="32">
        <f>SUM(Y61:Y61)</f>
        <v>0</v>
      </c>
      <c r="AI60" s="32">
        <f>SUM(Z61:Z61)</f>
        <v>0</v>
      </c>
      <c r="AJ60" s="32">
        <f>SUM(AA61:AA61)</f>
        <v>0</v>
      </c>
    </row>
    <row r="61" spans="1:42" ht="12.75">
      <c r="A61" s="4" t="s">
        <v>39</v>
      </c>
      <c r="B61" s="4"/>
      <c r="C61" s="4" t="s">
        <v>102</v>
      </c>
      <c r="D61" s="4" t="s">
        <v>165</v>
      </c>
      <c r="E61" s="4" t="s">
        <v>188</v>
      </c>
      <c r="F61" s="15">
        <v>1</v>
      </c>
      <c r="G61" s="15"/>
      <c r="H61" s="15">
        <f>ROUND(F61*AD61,2)</f>
        <v>0</v>
      </c>
      <c r="I61" s="15">
        <f>J61-H61</f>
        <v>0</v>
      </c>
      <c r="J61" s="15">
        <f>ROUND(F61*G61,2)</f>
        <v>0</v>
      </c>
      <c r="K61" s="15">
        <v>0.00095</v>
      </c>
      <c r="L61" s="15">
        <f>F61*K61</f>
        <v>0.00095</v>
      </c>
      <c r="M61" s="25" t="s">
        <v>8</v>
      </c>
      <c r="N61" s="15">
        <f>IF(M61="5",I61,0)</f>
        <v>0</v>
      </c>
      <c r="Y61" s="15">
        <f>IF(AC61=0,J61,0)</f>
        <v>0</v>
      </c>
      <c r="Z61" s="15">
        <f>IF(AC61=15,J61,0)</f>
        <v>0</v>
      </c>
      <c r="AA61" s="15">
        <f>IF(AC61=21,J61,0)</f>
        <v>0</v>
      </c>
      <c r="AC61" s="29">
        <v>21</v>
      </c>
      <c r="AD61" s="29">
        <f>G61*0.773031847133758</f>
        <v>0</v>
      </c>
      <c r="AE61" s="29">
        <f>G61*(1-0.773031847133758)</f>
        <v>0</v>
      </c>
      <c r="AL61" s="29">
        <f>F61*AD61</f>
        <v>0</v>
      </c>
      <c r="AM61" s="29">
        <f>F61*AE61</f>
        <v>0</v>
      </c>
      <c r="AN61" s="30" t="s">
        <v>237</v>
      </c>
      <c r="AO61" s="30" t="s">
        <v>247</v>
      </c>
      <c r="AP61" s="24" t="s">
        <v>249</v>
      </c>
    </row>
    <row r="62" spans="1:36" ht="12.75">
      <c r="A62" s="5"/>
      <c r="B62" s="12"/>
      <c r="C62" s="12" t="s">
        <v>103</v>
      </c>
      <c r="D62" s="72" t="s">
        <v>166</v>
      </c>
      <c r="E62" s="73"/>
      <c r="F62" s="73"/>
      <c r="G62" s="73"/>
      <c r="H62" s="32">
        <f>SUM(H63:H64)</f>
        <v>0</v>
      </c>
      <c r="I62" s="32">
        <f>SUM(I63:I64)</f>
        <v>0</v>
      </c>
      <c r="J62" s="32">
        <f>H62+I62</f>
        <v>0</v>
      </c>
      <c r="K62" s="24"/>
      <c r="L62" s="32">
        <f>SUM(L63:L64)</f>
        <v>0</v>
      </c>
      <c r="O62" s="32">
        <f>IF(P62="PR",J62,SUM(N63:N64))</f>
        <v>0</v>
      </c>
      <c r="P62" s="24" t="s">
        <v>211</v>
      </c>
      <c r="Q62" s="32">
        <f>IF(P62="HS",H62,0)</f>
        <v>0</v>
      </c>
      <c r="R62" s="32">
        <f>IF(P62="HS",I62-O62,0)</f>
        <v>0</v>
      </c>
      <c r="S62" s="32">
        <f>IF(P62="PS",H62,0)</f>
        <v>0</v>
      </c>
      <c r="T62" s="32">
        <f>IF(P62="PS",I62-O62,0)</f>
        <v>0</v>
      </c>
      <c r="U62" s="32">
        <f>IF(P62="MP",H62,0)</f>
        <v>0</v>
      </c>
      <c r="V62" s="32">
        <f>IF(P62="MP",I62-O62,0)</f>
        <v>0</v>
      </c>
      <c r="W62" s="32">
        <f>IF(P62="OM",H62,0)</f>
        <v>0</v>
      </c>
      <c r="X62" s="24"/>
      <c r="AH62" s="32">
        <f>SUM(Y63:Y64)</f>
        <v>0</v>
      </c>
      <c r="AI62" s="32">
        <f>SUM(Z63:Z64)</f>
        <v>0</v>
      </c>
      <c r="AJ62" s="32">
        <f>SUM(AA63:AA64)</f>
        <v>0</v>
      </c>
    </row>
    <row r="63" spans="1:42" ht="12.75">
      <c r="A63" s="4" t="s">
        <v>40</v>
      </c>
      <c r="B63" s="4"/>
      <c r="C63" s="4" t="s">
        <v>104</v>
      </c>
      <c r="D63" s="4" t="s">
        <v>167</v>
      </c>
      <c r="E63" s="4" t="s">
        <v>191</v>
      </c>
      <c r="F63" s="15">
        <v>5.5</v>
      </c>
      <c r="G63" s="15"/>
      <c r="H63" s="15">
        <f>ROUND(F63*AD63,2)</f>
        <v>0</v>
      </c>
      <c r="I63" s="15">
        <f>J63-H63</f>
        <v>0</v>
      </c>
      <c r="J63" s="15">
        <f>ROUND(F63*G63,2)</f>
        <v>0</v>
      </c>
      <c r="K63" s="15">
        <v>0</v>
      </c>
      <c r="L63" s="15">
        <f>F63*K63</f>
        <v>0</v>
      </c>
      <c r="M63" s="25" t="s">
        <v>11</v>
      </c>
      <c r="N63" s="15">
        <f>IF(M63="5",I63,0)</f>
        <v>0</v>
      </c>
      <c r="Y63" s="15">
        <f>IF(AC63=0,J63,0)</f>
        <v>0</v>
      </c>
      <c r="Z63" s="15">
        <f>IF(AC63=15,J63,0)</f>
        <v>0</v>
      </c>
      <c r="AA63" s="15">
        <f>IF(AC63=21,J63,0)</f>
        <v>0</v>
      </c>
      <c r="AC63" s="29">
        <v>21</v>
      </c>
      <c r="AD63" s="29">
        <f>G63*0</f>
        <v>0</v>
      </c>
      <c r="AE63" s="29">
        <f>G63*(1-0)</f>
        <v>0</v>
      </c>
      <c r="AL63" s="29">
        <f>F63*AD63</f>
        <v>0</v>
      </c>
      <c r="AM63" s="29">
        <f>F63*AE63</f>
        <v>0</v>
      </c>
      <c r="AN63" s="30" t="s">
        <v>238</v>
      </c>
      <c r="AO63" s="30" t="s">
        <v>247</v>
      </c>
      <c r="AP63" s="24" t="s">
        <v>249</v>
      </c>
    </row>
    <row r="64" spans="1:42" ht="12.75">
      <c r="A64" s="4" t="s">
        <v>41</v>
      </c>
      <c r="B64" s="4"/>
      <c r="C64" s="4" t="s">
        <v>105</v>
      </c>
      <c r="D64" s="4" t="s">
        <v>168</v>
      </c>
      <c r="E64" s="4" t="s">
        <v>191</v>
      </c>
      <c r="F64" s="15">
        <v>5.5</v>
      </c>
      <c r="G64" s="15"/>
      <c r="H64" s="15">
        <f>ROUND(F64*AD64,2)</f>
        <v>0</v>
      </c>
      <c r="I64" s="15">
        <f>J64-H64</f>
        <v>0</v>
      </c>
      <c r="J64" s="15">
        <f>ROUND(F64*G64,2)</f>
        <v>0</v>
      </c>
      <c r="K64" s="15">
        <v>0</v>
      </c>
      <c r="L64" s="15">
        <f>F64*K64</f>
        <v>0</v>
      </c>
      <c r="M64" s="25" t="s">
        <v>11</v>
      </c>
      <c r="N64" s="15">
        <f>IF(M64="5",I64,0)</f>
        <v>0</v>
      </c>
      <c r="Y64" s="15">
        <f>IF(AC64=0,J64,0)</f>
        <v>0</v>
      </c>
      <c r="Z64" s="15">
        <f>IF(AC64=15,J64,0)</f>
        <v>0</v>
      </c>
      <c r="AA64" s="15">
        <f>IF(AC64=21,J64,0)</f>
        <v>0</v>
      </c>
      <c r="AC64" s="29">
        <v>21</v>
      </c>
      <c r="AD64" s="29">
        <f>G64*0</f>
        <v>0</v>
      </c>
      <c r="AE64" s="29">
        <f>G64*(1-0)</f>
        <v>0</v>
      </c>
      <c r="AL64" s="29">
        <f>F64*AD64</f>
        <v>0</v>
      </c>
      <c r="AM64" s="29">
        <f>F64*AE64</f>
        <v>0</v>
      </c>
      <c r="AN64" s="30" t="s">
        <v>238</v>
      </c>
      <c r="AO64" s="30" t="s">
        <v>247</v>
      </c>
      <c r="AP64" s="24" t="s">
        <v>249</v>
      </c>
    </row>
    <row r="65" spans="1:36" ht="12.75">
      <c r="A65" s="5"/>
      <c r="B65" s="12"/>
      <c r="C65" s="12"/>
      <c r="D65" s="72" t="s">
        <v>169</v>
      </c>
      <c r="E65" s="73"/>
      <c r="F65" s="73"/>
      <c r="G65" s="73"/>
      <c r="H65" s="32">
        <f>SUM(H66:H78)</f>
        <v>0</v>
      </c>
      <c r="I65" s="32">
        <f>SUM(I66:I75)</f>
        <v>0</v>
      </c>
      <c r="J65" s="32">
        <f>H65+I65</f>
        <v>0</v>
      </c>
      <c r="K65" s="24"/>
      <c r="L65" s="32">
        <f>SUM(L66:L75)</f>
        <v>1.532572</v>
      </c>
      <c r="O65" s="32">
        <f>IF(P65="PR",J65,SUM(N66:N75))</f>
        <v>0</v>
      </c>
      <c r="P65" s="24" t="s">
        <v>213</v>
      </c>
      <c r="Q65" s="32">
        <f>IF(P65="HS",H65,0)</f>
        <v>0</v>
      </c>
      <c r="R65" s="32">
        <f>IF(P65="HS",I65-O65,0)</f>
        <v>0</v>
      </c>
      <c r="S65" s="32">
        <f>IF(P65="PS",H65,0)</f>
        <v>0</v>
      </c>
      <c r="T65" s="32">
        <f>IF(P65="PS",I65-O65,0)</f>
        <v>0</v>
      </c>
      <c r="U65" s="32">
        <f>IF(P65="MP",H65,0)</f>
        <v>0</v>
      </c>
      <c r="V65" s="32">
        <f>IF(P65="MP",I65-O65,0)</f>
        <v>0</v>
      </c>
      <c r="W65" s="32">
        <f>IF(P65="OM",H65,0)</f>
        <v>0</v>
      </c>
      <c r="X65" s="24"/>
      <c r="AH65" s="32">
        <f>SUM(Y66:Y75)</f>
        <v>0</v>
      </c>
      <c r="AI65" s="32">
        <f>SUM(Z66:Z75)</f>
        <v>0</v>
      </c>
      <c r="AJ65" s="32">
        <f>SUM(AA66:AA75)</f>
        <v>0</v>
      </c>
    </row>
    <row r="66" spans="1:42" ht="12.75">
      <c r="A66" s="6" t="s">
        <v>42</v>
      </c>
      <c r="B66" s="6"/>
      <c r="C66" s="6" t="s">
        <v>106</v>
      </c>
      <c r="D66" s="6" t="s">
        <v>170</v>
      </c>
      <c r="E66" s="6" t="s">
        <v>185</v>
      </c>
      <c r="F66" s="16">
        <v>17</v>
      </c>
      <c r="G66" s="16"/>
      <c r="H66" s="16">
        <f aca="true" t="shared" si="0" ref="H66:H78">ROUND(F66*AD66,2)</f>
        <v>0</v>
      </c>
      <c r="I66" s="16">
        <f aca="true" t="shared" si="1" ref="I66:I78">J66-H66</f>
        <v>0</v>
      </c>
      <c r="J66" s="16">
        <f aca="true" t="shared" si="2" ref="J66:J78">ROUND(F66*G66,2)</f>
        <v>0</v>
      </c>
      <c r="K66" s="16">
        <v>0.0192</v>
      </c>
      <c r="L66" s="16">
        <f aca="true" t="shared" si="3" ref="L66:L78">F66*K66</f>
        <v>0.32639999999999997</v>
      </c>
      <c r="M66" s="26" t="s">
        <v>206</v>
      </c>
      <c r="N66" s="16">
        <f aca="true" t="shared" si="4" ref="N66:N75">IF(M66="5",I66,0)</f>
        <v>0</v>
      </c>
      <c r="Y66" s="16">
        <f aca="true" t="shared" si="5" ref="Y66:Y75">IF(AC66=0,J66,0)</f>
        <v>0</v>
      </c>
      <c r="Z66" s="16">
        <f aca="true" t="shared" si="6" ref="Z66:Z75">IF(AC66=15,J66,0)</f>
        <v>0</v>
      </c>
      <c r="AA66" s="16">
        <f aca="true" t="shared" si="7" ref="AA66:AA75">IF(AC66=21,J66,0)</f>
        <v>0</v>
      </c>
      <c r="AC66" s="29">
        <v>21</v>
      </c>
      <c r="AD66" s="29">
        <f aca="true" t="shared" si="8" ref="AD66:AD78">G66*1</f>
        <v>0</v>
      </c>
      <c r="AE66" s="29">
        <f aca="true" t="shared" si="9" ref="AE66:AE78">G66*(1-1)</f>
        <v>0</v>
      </c>
      <c r="AL66" s="29">
        <f aca="true" t="shared" si="10" ref="AL66:AL78">F66*AD66</f>
        <v>0</v>
      </c>
      <c r="AM66" s="29">
        <f aca="true" t="shared" si="11" ref="AM66:AM78">F66*AE66</f>
        <v>0</v>
      </c>
      <c r="AN66" s="30" t="s">
        <v>239</v>
      </c>
      <c r="AO66" s="30" t="s">
        <v>248</v>
      </c>
      <c r="AP66" s="24" t="s">
        <v>249</v>
      </c>
    </row>
    <row r="67" spans="1:42" ht="12.75">
      <c r="A67" s="6" t="s">
        <v>43</v>
      </c>
      <c r="B67" s="6"/>
      <c r="C67" s="6" t="s">
        <v>107</v>
      </c>
      <c r="D67" s="6" t="s">
        <v>171</v>
      </c>
      <c r="E67" s="6" t="s">
        <v>185</v>
      </c>
      <c r="F67" s="16">
        <v>74.01</v>
      </c>
      <c r="G67" s="16"/>
      <c r="H67" s="16">
        <f t="shared" si="0"/>
        <v>0</v>
      </c>
      <c r="I67" s="16">
        <f t="shared" si="1"/>
        <v>0</v>
      </c>
      <c r="J67" s="16">
        <f t="shared" si="2"/>
        <v>0</v>
      </c>
      <c r="K67" s="16">
        <v>0.0122</v>
      </c>
      <c r="L67" s="16">
        <f t="shared" si="3"/>
        <v>0.9029220000000001</v>
      </c>
      <c r="M67" s="26" t="s">
        <v>206</v>
      </c>
      <c r="N67" s="16">
        <f t="shared" si="4"/>
        <v>0</v>
      </c>
      <c r="Y67" s="16">
        <f t="shared" si="5"/>
        <v>0</v>
      </c>
      <c r="Z67" s="16">
        <f t="shared" si="6"/>
        <v>0</v>
      </c>
      <c r="AA67" s="16">
        <f t="shared" si="7"/>
        <v>0</v>
      </c>
      <c r="AC67" s="29">
        <v>21</v>
      </c>
      <c r="AD67" s="29">
        <f t="shared" si="8"/>
        <v>0</v>
      </c>
      <c r="AE67" s="29">
        <f t="shared" si="9"/>
        <v>0</v>
      </c>
      <c r="AL67" s="29">
        <f t="shared" si="10"/>
        <v>0</v>
      </c>
      <c r="AM67" s="29">
        <f t="shared" si="11"/>
        <v>0</v>
      </c>
      <c r="AN67" s="30" t="s">
        <v>239</v>
      </c>
      <c r="AO67" s="30" t="s">
        <v>248</v>
      </c>
      <c r="AP67" s="24" t="s">
        <v>249</v>
      </c>
    </row>
    <row r="68" spans="1:42" ht="12.75">
      <c r="A68" s="6" t="s">
        <v>44</v>
      </c>
      <c r="B68" s="6"/>
      <c r="C68" s="6" t="s">
        <v>108</v>
      </c>
      <c r="D68" s="6" t="s">
        <v>172</v>
      </c>
      <c r="E68" s="6" t="s">
        <v>187</v>
      </c>
      <c r="F68" s="16">
        <v>5</v>
      </c>
      <c r="G68" s="16"/>
      <c r="H68" s="16">
        <f t="shared" si="0"/>
        <v>0</v>
      </c>
      <c r="I68" s="16">
        <f t="shared" si="1"/>
        <v>0</v>
      </c>
      <c r="J68" s="16">
        <f t="shared" si="2"/>
        <v>0</v>
      </c>
      <c r="K68" s="16">
        <v>0.0185</v>
      </c>
      <c r="L68" s="16">
        <f t="shared" si="3"/>
        <v>0.0925</v>
      </c>
      <c r="M68" s="26" t="s">
        <v>206</v>
      </c>
      <c r="N68" s="16">
        <f t="shared" si="4"/>
        <v>0</v>
      </c>
      <c r="Y68" s="16">
        <f t="shared" si="5"/>
        <v>0</v>
      </c>
      <c r="Z68" s="16">
        <f t="shared" si="6"/>
        <v>0</v>
      </c>
      <c r="AA68" s="16">
        <f t="shared" si="7"/>
        <v>0</v>
      </c>
      <c r="AC68" s="29">
        <v>21</v>
      </c>
      <c r="AD68" s="29">
        <f t="shared" si="8"/>
        <v>0</v>
      </c>
      <c r="AE68" s="29">
        <f t="shared" si="9"/>
        <v>0</v>
      </c>
      <c r="AL68" s="29">
        <f t="shared" si="10"/>
        <v>0</v>
      </c>
      <c r="AM68" s="29">
        <f t="shared" si="11"/>
        <v>0</v>
      </c>
      <c r="AN68" s="30" t="s">
        <v>239</v>
      </c>
      <c r="AO68" s="30" t="s">
        <v>248</v>
      </c>
      <c r="AP68" s="24" t="s">
        <v>249</v>
      </c>
    </row>
    <row r="69" spans="1:42" ht="12.75">
      <c r="A69" s="6" t="s">
        <v>45</v>
      </c>
      <c r="B69" s="6"/>
      <c r="C69" s="6" t="s">
        <v>109</v>
      </c>
      <c r="D69" s="6" t="s">
        <v>173</v>
      </c>
      <c r="E69" s="6" t="s">
        <v>187</v>
      </c>
      <c r="F69" s="16">
        <v>3</v>
      </c>
      <c r="G69" s="16"/>
      <c r="H69" s="16">
        <f t="shared" si="0"/>
        <v>0</v>
      </c>
      <c r="I69" s="16">
        <f t="shared" si="1"/>
        <v>0</v>
      </c>
      <c r="J69" s="16">
        <f t="shared" si="2"/>
        <v>0</v>
      </c>
      <c r="K69" s="16">
        <v>0.027</v>
      </c>
      <c r="L69" s="16">
        <f t="shared" si="3"/>
        <v>0.081</v>
      </c>
      <c r="M69" s="26" t="s">
        <v>206</v>
      </c>
      <c r="N69" s="16">
        <f t="shared" si="4"/>
        <v>0</v>
      </c>
      <c r="Y69" s="16">
        <f t="shared" si="5"/>
        <v>0</v>
      </c>
      <c r="Z69" s="16">
        <f t="shared" si="6"/>
        <v>0</v>
      </c>
      <c r="AA69" s="16">
        <f t="shared" si="7"/>
        <v>0</v>
      </c>
      <c r="AC69" s="29">
        <v>21</v>
      </c>
      <c r="AD69" s="29">
        <f t="shared" si="8"/>
        <v>0</v>
      </c>
      <c r="AE69" s="29">
        <f t="shared" si="9"/>
        <v>0</v>
      </c>
      <c r="AL69" s="29">
        <f t="shared" si="10"/>
        <v>0</v>
      </c>
      <c r="AM69" s="29">
        <f t="shared" si="11"/>
        <v>0</v>
      </c>
      <c r="AN69" s="30" t="s">
        <v>239</v>
      </c>
      <c r="AO69" s="30" t="s">
        <v>248</v>
      </c>
      <c r="AP69" s="24" t="s">
        <v>249</v>
      </c>
    </row>
    <row r="70" spans="1:42" ht="12.75">
      <c r="A70" s="6" t="s">
        <v>46</v>
      </c>
      <c r="B70" s="6"/>
      <c r="C70" s="6" t="s">
        <v>110</v>
      </c>
      <c r="D70" s="6" t="s">
        <v>174</v>
      </c>
      <c r="E70" s="6" t="s">
        <v>187</v>
      </c>
      <c r="F70" s="16">
        <v>2</v>
      </c>
      <c r="G70" s="16"/>
      <c r="H70" s="16">
        <f t="shared" si="0"/>
        <v>0</v>
      </c>
      <c r="I70" s="16">
        <f t="shared" si="1"/>
        <v>0</v>
      </c>
      <c r="J70" s="16">
        <f t="shared" si="2"/>
        <v>0</v>
      </c>
      <c r="K70" s="16">
        <v>0.016</v>
      </c>
      <c r="L70" s="16">
        <f t="shared" si="3"/>
        <v>0.032</v>
      </c>
      <c r="M70" s="26" t="s">
        <v>206</v>
      </c>
      <c r="N70" s="16">
        <f t="shared" si="4"/>
        <v>0</v>
      </c>
      <c r="Y70" s="16">
        <f t="shared" si="5"/>
        <v>0</v>
      </c>
      <c r="Z70" s="16">
        <f t="shared" si="6"/>
        <v>0</v>
      </c>
      <c r="AA70" s="16">
        <f t="shared" si="7"/>
        <v>0</v>
      </c>
      <c r="AC70" s="29">
        <v>21</v>
      </c>
      <c r="AD70" s="29">
        <f t="shared" si="8"/>
        <v>0</v>
      </c>
      <c r="AE70" s="29">
        <f t="shared" si="9"/>
        <v>0</v>
      </c>
      <c r="AL70" s="29">
        <f t="shared" si="10"/>
        <v>0</v>
      </c>
      <c r="AM70" s="29">
        <f t="shared" si="11"/>
        <v>0</v>
      </c>
      <c r="AN70" s="30" t="s">
        <v>239</v>
      </c>
      <c r="AO70" s="30" t="s">
        <v>248</v>
      </c>
      <c r="AP70" s="24" t="s">
        <v>249</v>
      </c>
    </row>
    <row r="71" spans="1:42" ht="12.75">
      <c r="A71" s="6" t="s">
        <v>47</v>
      </c>
      <c r="B71" s="6"/>
      <c r="C71" s="6" t="s">
        <v>111</v>
      </c>
      <c r="D71" s="6" t="s">
        <v>175</v>
      </c>
      <c r="E71" s="6" t="s">
        <v>187</v>
      </c>
      <c r="F71" s="16">
        <v>3</v>
      </c>
      <c r="G71" s="16"/>
      <c r="H71" s="16">
        <f t="shared" si="0"/>
        <v>0</v>
      </c>
      <c r="I71" s="16">
        <f t="shared" si="1"/>
        <v>0</v>
      </c>
      <c r="J71" s="16">
        <f t="shared" si="2"/>
        <v>0</v>
      </c>
      <c r="K71" s="16">
        <v>0.0255</v>
      </c>
      <c r="L71" s="16">
        <f t="shared" si="3"/>
        <v>0.0765</v>
      </c>
      <c r="M71" s="26" t="s">
        <v>206</v>
      </c>
      <c r="N71" s="16">
        <f t="shared" si="4"/>
        <v>0</v>
      </c>
      <c r="Y71" s="16">
        <f t="shared" si="5"/>
        <v>0</v>
      </c>
      <c r="Z71" s="16">
        <f t="shared" si="6"/>
        <v>0</v>
      </c>
      <c r="AA71" s="16">
        <f t="shared" si="7"/>
        <v>0</v>
      </c>
      <c r="AC71" s="29">
        <v>21</v>
      </c>
      <c r="AD71" s="29">
        <f t="shared" si="8"/>
        <v>0</v>
      </c>
      <c r="AE71" s="29">
        <f t="shared" si="9"/>
        <v>0</v>
      </c>
      <c r="AL71" s="29">
        <f t="shared" si="10"/>
        <v>0</v>
      </c>
      <c r="AM71" s="29">
        <f t="shared" si="11"/>
        <v>0</v>
      </c>
      <c r="AN71" s="30" t="s">
        <v>239</v>
      </c>
      <c r="AO71" s="30" t="s">
        <v>248</v>
      </c>
      <c r="AP71" s="24" t="s">
        <v>249</v>
      </c>
    </row>
    <row r="72" spans="1:42" ht="12.75">
      <c r="A72" s="6" t="s">
        <v>48</v>
      </c>
      <c r="B72" s="6"/>
      <c r="C72" s="6" t="s">
        <v>112</v>
      </c>
      <c r="D72" s="6" t="s">
        <v>176</v>
      </c>
      <c r="E72" s="6" t="s">
        <v>187</v>
      </c>
      <c r="F72" s="16">
        <v>1</v>
      </c>
      <c r="G72" s="16"/>
      <c r="H72" s="16">
        <f t="shared" si="0"/>
        <v>0</v>
      </c>
      <c r="I72" s="16">
        <f t="shared" si="1"/>
        <v>0</v>
      </c>
      <c r="J72" s="16">
        <f t="shared" si="2"/>
        <v>0</v>
      </c>
      <c r="K72" s="16">
        <v>0.0117</v>
      </c>
      <c r="L72" s="16">
        <f t="shared" si="3"/>
        <v>0.0117</v>
      </c>
      <c r="M72" s="26" t="s">
        <v>206</v>
      </c>
      <c r="N72" s="16">
        <f t="shared" si="4"/>
        <v>0</v>
      </c>
      <c r="Y72" s="16">
        <f t="shared" si="5"/>
        <v>0</v>
      </c>
      <c r="Z72" s="16">
        <f t="shared" si="6"/>
        <v>0</v>
      </c>
      <c r="AA72" s="16">
        <f t="shared" si="7"/>
        <v>0</v>
      </c>
      <c r="AC72" s="29">
        <v>21</v>
      </c>
      <c r="AD72" s="29">
        <f t="shared" si="8"/>
        <v>0</v>
      </c>
      <c r="AE72" s="29">
        <f t="shared" si="9"/>
        <v>0</v>
      </c>
      <c r="AL72" s="29">
        <f t="shared" si="10"/>
        <v>0</v>
      </c>
      <c r="AM72" s="29">
        <f t="shared" si="11"/>
        <v>0</v>
      </c>
      <c r="AN72" s="30" t="s">
        <v>239</v>
      </c>
      <c r="AO72" s="30" t="s">
        <v>248</v>
      </c>
      <c r="AP72" s="24" t="s">
        <v>249</v>
      </c>
    </row>
    <row r="73" spans="1:42" ht="12.75">
      <c r="A73" s="6" t="s">
        <v>49</v>
      </c>
      <c r="B73" s="6"/>
      <c r="C73" s="6" t="s">
        <v>113</v>
      </c>
      <c r="D73" s="6" t="s">
        <v>177</v>
      </c>
      <c r="E73" s="6" t="s">
        <v>187</v>
      </c>
      <c r="F73" s="16">
        <v>1</v>
      </c>
      <c r="G73" s="16"/>
      <c r="H73" s="16">
        <f t="shared" si="0"/>
        <v>0</v>
      </c>
      <c r="I73" s="16">
        <f t="shared" si="1"/>
        <v>0</v>
      </c>
      <c r="J73" s="16">
        <f t="shared" si="2"/>
        <v>0</v>
      </c>
      <c r="K73" s="16">
        <v>0.0047</v>
      </c>
      <c r="L73" s="16">
        <f t="shared" si="3"/>
        <v>0.0047</v>
      </c>
      <c r="M73" s="26" t="s">
        <v>206</v>
      </c>
      <c r="N73" s="16">
        <f t="shared" si="4"/>
        <v>0</v>
      </c>
      <c r="Y73" s="16">
        <f t="shared" si="5"/>
        <v>0</v>
      </c>
      <c r="Z73" s="16">
        <f t="shared" si="6"/>
        <v>0</v>
      </c>
      <c r="AA73" s="16">
        <f t="shared" si="7"/>
        <v>0</v>
      </c>
      <c r="AC73" s="29">
        <v>21</v>
      </c>
      <c r="AD73" s="29">
        <f t="shared" si="8"/>
        <v>0</v>
      </c>
      <c r="AE73" s="29">
        <f t="shared" si="9"/>
        <v>0</v>
      </c>
      <c r="AL73" s="29">
        <f t="shared" si="10"/>
        <v>0</v>
      </c>
      <c r="AM73" s="29">
        <f t="shared" si="11"/>
        <v>0</v>
      </c>
      <c r="AN73" s="30" t="s">
        <v>239</v>
      </c>
      <c r="AO73" s="30" t="s">
        <v>248</v>
      </c>
      <c r="AP73" s="24" t="s">
        <v>249</v>
      </c>
    </row>
    <row r="74" spans="1:42" ht="12.75">
      <c r="A74" s="6" t="s">
        <v>50</v>
      </c>
      <c r="B74" s="6"/>
      <c r="C74" s="6" t="s">
        <v>114</v>
      </c>
      <c r="D74" s="6" t="s">
        <v>178</v>
      </c>
      <c r="E74" s="6" t="s">
        <v>187</v>
      </c>
      <c r="F74" s="16">
        <v>1</v>
      </c>
      <c r="G74" s="16"/>
      <c r="H74" s="16">
        <f t="shared" si="0"/>
        <v>0</v>
      </c>
      <c r="I74" s="16">
        <f t="shared" si="1"/>
        <v>0</v>
      </c>
      <c r="J74" s="16">
        <f t="shared" si="2"/>
        <v>0</v>
      </c>
      <c r="K74" s="16">
        <v>0.00085</v>
      </c>
      <c r="L74" s="16">
        <f t="shared" si="3"/>
        <v>0.00085</v>
      </c>
      <c r="M74" s="26" t="s">
        <v>206</v>
      </c>
      <c r="N74" s="16">
        <f t="shared" si="4"/>
        <v>0</v>
      </c>
      <c r="Y74" s="16">
        <f t="shared" si="5"/>
        <v>0</v>
      </c>
      <c r="Z74" s="16">
        <f t="shared" si="6"/>
        <v>0</v>
      </c>
      <c r="AA74" s="16">
        <f t="shared" si="7"/>
        <v>0</v>
      </c>
      <c r="AC74" s="29">
        <v>21</v>
      </c>
      <c r="AD74" s="29">
        <f t="shared" si="8"/>
        <v>0</v>
      </c>
      <c r="AE74" s="29">
        <f t="shared" si="9"/>
        <v>0</v>
      </c>
      <c r="AL74" s="29">
        <f t="shared" si="10"/>
        <v>0</v>
      </c>
      <c r="AM74" s="29">
        <f t="shared" si="11"/>
        <v>0</v>
      </c>
      <c r="AN74" s="30" t="s">
        <v>239</v>
      </c>
      <c r="AO74" s="30" t="s">
        <v>248</v>
      </c>
      <c r="AP74" s="24" t="s">
        <v>249</v>
      </c>
    </row>
    <row r="75" spans="1:42" ht="12.75">
      <c r="A75" s="6" t="s">
        <v>51</v>
      </c>
      <c r="B75" s="6"/>
      <c r="C75" s="6" t="s">
        <v>115</v>
      </c>
      <c r="D75" s="6" t="s">
        <v>179</v>
      </c>
      <c r="E75" s="6" t="s">
        <v>187</v>
      </c>
      <c r="F75" s="16">
        <v>5</v>
      </c>
      <c r="G75" s="16"/>
      <c r="H75" s="16">
        <f t="shared" si="0"/>
        <v>0</v>
      </c>
      <c r="I75" s="16">
        <f t="shared" si="1"/>
        <v>0</v>
      </c>
      <c r="J75" s="16">
        <f t="shared" si="2"/>
        <v>0</v>
      </c>
      <c r="K75" s="16">
        <v>0.0008</v>
      </c>
      <c r="L75" s="16">
        <f t="shared" si="3"/>
        <v>0.004</v>
      </c>
      <c r="M75" s="26" t="s">
        <v>206</v>
      </c>
      <c r="N75" s="16">
        <f t="shared" si="4"/>
        <v>0</v>
      </c>
      <c r="Y75" s="16">
        <f t="shared" si="5"/>
        <v>0</v>
      </c>
      <c r="Z75" s="16">
        <f t="shared" si="6"/>
        <v>0</v>
      </c>
      <c r="AA75" s="16">
        <f t="shared" si="7"/>
        <v>0</v>
      </c>
      <c r="AC75" s="29">
        <v>21</v>
      </c>
      <c r="AD75" s="29">
        <f t="shared" si="8"/>
        <v>0</v>
      </c>
      <c r="AE75" s="29">
        <f t="shared" si="9"/>
        <v>0</v>
      </c>
      <c r="AL75" s="29">
        <f t="shared" si="10"/>
        <v>0</v>
      </c>
      <c r="AM75" s="29">
        <f t="shared" si="11"/>
        <v>0</v>
      </c>
      <c r="AN75" s="30" t="s">
        <v>239</v>
      </c>
      <c r="AO75" s="30" t="s">
        <v>248</v>
      </c>
      <c r="AP75" s="24" t="s">
        <v>249</v>
      </c>
    </row>
    <row r="76" spans="1:42" ht="12.75">
      <c r="A76" s="6" t="s">
        <v>301</v>
      </c>
      <c r="B76" s="6"/>
      <c r="C76" s="6" t="s">
        <v>298</v>
      </c>
      <c r="D76" s="6" t="s">
        <v>294</v>
      </c>
      <c r="E76" s="6" t="s">
        <v>187</v>
      </c>
      <c r="F76" s="16">
        <v>2</v>
      </c>
      <c r="G76" s="16"/>
      <c r="H76" s="16">
        <f t="shared" si="0"/>
        <v>0</v>
      </c>
      <c r="I76" s="16">
        <f t="shared" si="1"/>
        <v>0</v>
      </c>
      <c r="J76" s="16">
        <f t="shared" si="2"/>
        <v>0</v>
      </c>
      <c r="K76" s="16">
        <v>0.0008</v>
      </c>
      <c r="L76" s="16">
        <f t="shared" si="3"/>
        <v>0.0016</v>
      </c>
      <c r="M76" s="26"/>
      <c r="N76" s="16"/>
      <c r="Y76" s="16"/>
      <c r="Z76" s="16"/>
      <c r="AA76" s="16"/>
      <c r="AC76" s="29"/>
      <c r="AD76" s="29">
        <f t="shared" si="8"/>
        <v>0</v>
      </c>
      <c r="AE76" s="29">
        <f t="shared" si="9"/>
        <v>0</v>
      </c>
      <c r="AL76" s="29">
        <f t="shared" si="10"/>
        <v>0</v>
      </c>
      <c r="AM76" s="29">
        <f t="shared" si="11"/>
        <v>0</v>
      </c>
      <c r="AN76" s="30"/>
      <c r="AO76" s="30"/>
      <c r="AP76" s="24"/>
    </row>
    <row r="77" spans="1:42" ht="12.75">
      <c r="A77" s="6" t="s">
        <v>302</v>
      </c>
      <c r="B77" s="6"/>
      <c r="C77" s="6" t="s">
        <v>299</v>
      </c>
      <c r="D77" s="6" t="s">
        <v>295</v>
      </c>
      <c r="E77" s="6" t="s">
        <v>187</v>
      </c>
      <c r="F77" s="16">
        <v>2</v>
      </c>
      <c r="G77" s="16"/>
      <c r="H77" s="16">
        <f t="shared" si="0"/>
        <v>0</v>
      </c>
      <c r="I77" s="16">
        <f t="shared" si="1"/>
        <v>0</v>
      </c>
      <c r="J77" s="16">
        <f t="shared" si="2"/>
        <v>0</v>
      </c>
      <c r="K77" s="16">
        <v>0.0008</v>
      </c>
      <c r="L77" s="16">
        <f t="shared" si="3"/>
        <v>0.0016</v>
      </c>
      <c r="M77" s="26"/>
      <c r="N77" s="16"/>
      <c r="Y77" s="16"/>
      <c r="Z77" s="16"/>
      <c r="AA77" s="16"/>
      <c r="AC77" s="29"/>
      <c r="AD77" s="29">
        <f t="shared" si="8"/>
        <v>0</v>
      </c>
      <c r="AE77" s="29">
        <f t="shared" si="9"/>
        <v>0</v>
      </c>
      <c r="AL77" s="29">
        <f t="shared" si="10"/>
        <v>0</v>
      </c>
      <c r="AM77" s="29">
        <f t="shared" si="11"/>
        <v>0</v>
      </c>
      <c r="AN77" s="30"/>
      <c r="AO77" s="30"/>
      <c r="AP77" s="24"/>
    </row>
    <row r="78" spans="1:42" ht="12.75">
      <c r="A78" s="6" t="s">
        <v>303</v>
      </c>
      <c r="B78" s="6"/>
      <c r="C78" s="6" t="s">
        <v>297</v>
      </c>
      <c r="D78" s="6" t="s">
        <v>296</v>
      </c>
      <c r="E78" s="6" t="s">
        <v>187</v>
      </c>
      <c r="F78" s="16">
        <v>2</v>
      </c>
      <c r="G78" s="16"/>
      <c r="H78" s="17">
        <f t="shared" si="0"/>
        <v>0</v>
      </c>
      <c r="I78" s="17">
        <f t="shared" si="1"/>
        <v>0</v>
      </c>
      <c r="J78" s="17">
        <f t="shared" si="2"/>
        <v>0</v>
      </c>
      <c r="K78" s="17">
        <v>0.0008</v>
      </c>
      <c r="L78" s="17">
        <f t="shared" si="3"/>
        <v>0.0016</v>
      </c>
      <c r="M78" s="26"/>
      <c r="N78" s="16"/>
      <c r="Y78" s="16"/>
      <c r="Z78" s="16"/>
      <c r="AA78" s="16"/>
      <c r="AC78" s="29"/>
      <c r="AD78" s="29">
        <f t="shared" si="8"/>
        <v>0</v>
      </c>
      <c r="AE78" s="29">
        <f t="shared" si="9"/>
        <v>0</v>
      </c>
      <c r="AL78" s="29">
        <f t="shared" si="10"/>
        <v>0</v>
      </c>
      <c r="AM78" s="29">
        <f t="shared" si="11"/>
        <v>0</v>
      </c>
      <c r="AN78" s="30"/>
      <c r="AO78" s="30"/>
      <c r="AP78" s="24"/>
    </row>
    <row r="79" spans="1:27" ht="12.75">
      <c r="A79" s="7"/>
      <c r="B79" s="7"/>
      <c r="C79" s="7"/>
      <c r="D79" s="7"/>
      <c r="E79" s="7"/>
      <c r="F79" s="7"/>
      <c r="G79" s="7"/>
      <c r="H79" s="74" t="s">
        <v>197</v>
      </c>
      <c r="I79" s="75"/>
      <c r="J79" s="33">
        <f>J12+J16+J20+J23+J25+J27+J30+J32+J35+J39+J43+J45+J49+J51+J56+J58+J60+J62+J65</f>
        <v>0</v>
      </c>
      <c r="K79" s="7"/>
      <c r="L79" s="7"/>
      <c r="Y79" s="34">
        <f>SUM(Y13:Y75)</f>
        <v>0</v>
      </c>
      <c r="Z79" s="34">
        <f>SUM(Z13:Z75)</f>
        <v>0</v>
      </c>
      <c r="AA79" s="34">
        <f>SUM(AA13:AA75)</f>
        <v>0</v>
      </c>
    </row>
    <row r="80" ht="11.25" customHeight="1">
      <c r="A80" s="8" t="s">
        <v>52</v>
      </c>
    </row>
    <row r="81" spans="1:12" ht="409.5" customHeight="1" hidden="1">
      <c r="A81" s="63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</sheetData>
  <sheetProtection/>
  <mergeCells count="48">
    <mergeCell ref="D60:G60"/>
    <mergeCell ref="D62:G62"/>
    <mergeCell ref="D65:G65"/>
    <mergeCell ref="H79:I79"/>
    <mergeCell ref="A81:L81"/>
    <mergeCell ref="D43:G43"/>
    <mergeCell ref="D45:G45"/>
    <mergeCell ref="D49:G49"/>
    <mergeCell ref="D51:G51"/>
    <mergeCell ref="D56:G56"/>
    <mergeCell ref="D58:G58"/>
    <mergeCell ref="D25:G25"/>
    <mergeCell ref="D27:G27"/>
    <mergeCell ref="D30:G30"/>
    <mergeCell ref="D32:G32"/>
    <mergeCell ref="D35:G35"/>
    <mergeCell ref="D39:G39"/>
    <mergeCell ref="H10:J10"/>
    <mergeCell ref="K10:L10"/>
    <mergeCell ref="D12:G12"/>
    <mergeCell ref="D16:G16"/>
    <mergeCell ref="D20:G20"/>
    <mergeCell ref="D23:G23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16" sqref="F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76" t="s">
        <v>250</v>
      </c>
      <c r="B1" s="77"/>
      <c r="C1" s="77"/>
      <c r="D1" s="77"/>
      <c r="E1" s="77"/>
      <c r="F1" s="77"/>
      <c r="G1" s="77"/>
      <c r="H1" s="77"/>
      <c r="I1" s="77"/>
    </row>
    <row r="2" spans="1:10" ht="12.75">
      <c r="A2" s="54" t="s">
        <v>1</v>
      </c>
      <c r="B2" s="55"/>
      <c r="C2" s="58" t="s">
        <v>116</v>
      </c>
      <c r="D2" s="75"/>
      <c r="E2" s="61" t="s">
        <v>198</v>
      </c>
      <c r="F2" s="61" t="s">
        <v>203</v>
      </c>
      <c r="G2" s="55"/>
      <c r="H2" s="61" t="s">
        <v>290</v>
      </c>
      <c r="I2" s="78"/>
      <c r="J2" s="27"/>
    </row>
    <row r="3" spans="1:10" ht="12.75">
      <c r="A3" s="56"/>
      <c r="B3" s="57"/>
      <c r="C3" s="59"/>
      <c r="D3" s="59"/>
      <c r="E3" s="57"/>
      <c r="F3" s="57"/>
      <c r="G3" s="57"/>
      <c r="H3" s="57"/>
      <c r="I3" s="79"/>
      <c r="J3" s="27"/>
    </row>
    <row r="4" spans="1:10" ht="12.75">
      <c r="A4" s="62" t="s">
        <v>2</v>
      </c>
      <c r="B4" s="57"/>
      <c r="C4" s="63" t="s">
        <v>117</v>
      </c>
      <c r="D4" s="57"/>
      <c r="E4" s="63" t="s">
        <v>199</v>
      </c>
      <c r="F4" s="63"/>
      <c r="G4" s="57"/>
      <c r="H4" s="63" t="s">
        <v>290</v>
      </c>
      <c r="I4" s="80"/>
      <c r="J4" s="27"/>
    </row>
    <row r="5" spans="1:10" ht="12.75">
      <c r="A5" s="56"/>
      <c r="B5" s="57"/>
      <c r="C5" s="57"/>
      <c r="D5" s="57"/>
      <c r="E5" s="57"/>
      <c r="F5" s="57"/>
      <c r="G5" s="57"/>
      <c r="H5" s="57"/>
      <c r="I5" s="79"/>
      <c r="J5" s="27"/>
    </row>
    <row r="6" spans="1:10" ht="12.75">
      <c r="A6" s="62" t="s">
        <v>3</v>
      </c>
      <c r="B6" s="57"/>
      <c r="C6" s="63" t="s">
        <v>118</v>
      </c>
      <c r="D6" s="57"/>
      <c r="E6" s="63" t="s">
        <v>200</v>
      </c>
      <c r="F6" s="63"/>
      <c r="G6" s="57"/>
      <c r="H6" s="63" t="s">
        <v>290</v>
      </c>
      <c r="I6" s="80"/>
      <c r="J6" s="27"/>
    </row>
    <row r="7" spans="1:10" ht="12.75">
      <c r="A7" s="56"/>
      <c r="B7" s="57"/>
      <c r="C7" s="57"/>
      <c r="D7" s="57"/>
      <c r="E7" s="57"/>
      <c r="F7" s="57"/>
      <c r="G7" s="57"/>
      <c r="H7" s="57"/>
      <c r="I7" s="79"/>
      <c r="J7" s="27"/>
    </row>
    <row r="8" spans="1:10" ht="12.75">
      <c r="A8" s="62" t="s">
        <v>181</v>
      </c>
      <c r="B8" s="57"/>
      <c r="C8" s="64" t="s">
        <v>6</v>
      </c>
      <c r="D8" s="57"/>
      <c r="E8" s="63" t="s">
        <v>182</v>
      </c>
      <c r="F8" s="57"/>
      <c r="G8" s="57"/>
      <c r="H8" s="64" t="s">
        <v>291</v>
      </c>
      <c r="I8" s="80" t="s">
        <v>303</v>
      </c>
      <c r="J8" s="27"/>
    </row>
    <row r="9" spans="1:10" ht="12.75">
      <c r="A9" s="56"/>
      <c r="B9" s="57"/>
      <c r="C9" s="57"/>
      <c r="D9" s="57"/>
      <c r="E9" s="57"/>
      <c r="F9" s="57"/>
      <c r="G9" s="57"/>
      <c r="H9" s="57"/>
      <c r="I9" s="79"/>
      <c r="J9" s="27"/>
    </row>
    <row r="10" spans="1:10" ht="12.75">
      <c r="A10" s="62" t="s">
        <v>4</v>
      </c>
      <c r="B10" s="57"/>
      <c r="C10" s="63"/>
      <c r="D10" s="57"/>
      <c r="E10" s="63" t="s">
        <v>201</v>
      </c>
      <c r="F10" s="63"/>
      <c r="G10" s="57"/>
      <c r="H10" s="64" t="s">
        <v>292</v>
      </c>
      <c r="I10" s="79"/>
      <c r="J10" s="27"/>
    </row>
    <row r="11" spans="1:10" ht="12.75">
      <c r="A11" s="81"/>
      <c r="B11" s="82"/>
      <c r="C11" s="82"/>
      <c r="D11" s="82"/>
      <c r="E11" s="82"/>
      <c r="F11" s="82"/>
      <c r="G11" s="82"/>
      <c r="H11" s="82"/>
      <c r="I11" s="83"/>
      <c r="J11" s="27"/>
    </row>
    <row r="12" spans="1:9" ht="23.25" customHeight="1">
      <c r="A12" s="84" t="s">
        <v>251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35" t="s">
        <v>252</v>
      </c>
      <c r="B13" s="86" t="s">
        <v>263</v>
      </c>
      <c r="C13" s="87"/>
      <c r="D13" s="35" t="s">
        <v>265</v>
      </c>
      <c r="E13" s="86" t="s">
        <v>275</v>
      </c>
      <c r="F13" s="87"/>
      <c r="G13" s="35" t="s">
        <v>276</v>
      </c>
      <c r="H13" s="86" t="s">
        <v>293</v>
      </c>
      <c r="I13" s="87"/>
      <c r="J13" s="27"/>
    </row>
    <row r="14" spans="1:10" ht="15" customHeight="1">
      <c r="A14" s="36" t="s">
        <v>253</v>
      </c>
      <c r="B14" s="41" t="s">
        <v>264</v>
      </c>
      <c r="C14" s="45">
        <f>SUM('Stavební rozpočet'!Q12:Q75)</f>
        <v>0</v>
      </c>
      <c r="D14" s="88" t="s">
        <v>266</v>
      </c>
      <c r="E14" s="89"/>
      <c r="F14" s="45">
        <v>0</v>
      </c>
      <c r="G14" s="88" t="s">
        <v>277</v>
      </c>
      <c r="H14" s="89"/>
      <c r="I14" s="45">
        <v>0</v>
      </c>
      <c r="J14" s="27"/>
    </row>
    <row r="15" spans="1:10" ht="15" customHeight="1">
      <c r="A15" s="37"/>
      <c r="B15" s="41" t="s">
        <v>202</v>
      </c>
      <c r="C15" s="45">
        <f>SUM('Stavební rozpočet'!R12:R75)</f>
        <v>0</v>
      </c>
      <c r="D15" s="88" t="s">
        <v>267</v>
      </c>
      <c r="E15" s="89"/>
      <c r="F15" s="45">
        <v>0</v>
      </c>
      <c r="G15" s="88" t="s">
        <v>278</v>
      </c>
      <c r="H15" s="89"/>
      <c r="I15" s="45">
        <v>0</v>
      </c>
      <c r="J15" s="27"/>
    </row>
    <row r="16" spans="1:10" ht="15" customHeight="1">
      <c r="A16" s="36" t="s">
        <v>254</v>
      </c>
      <c r="B16" s="41" t="s">
        <v>264</v>
      </c>
      <c r="C16" s="45">
        <f>SUM('Stavební rozpočet'!S12:S75)</f>
        <v>0</v>
      </c>
      <c r="D16" s="88" t="s">
        <v>268</v>
      </c>
      <c r="E16" s="89"/>
      <c r="F16" s="45">
        <v>0</v>
      </c>
      <c r="G16" s="88" t="s">
        <v>279</v>
      </c>
      <c r="H16" s="89"/>
      <c r="I16" s="45">
        <v>0</v>
      </c>
      <c r="J16" s="27"/>
    </row>
    <row r="17" spans="1:10" ht="15" customHeight="1">
      <c r="A17" s="37"/>
      <c r="B17" s="41" t="s">
        <v>202</v>
      </c>
      <c r="C17" s="45">
        <f>SUM('Stavební rozpočet'!T12:T75)</f>
        <v>0</v>
      </c>
      <c r="D17" s="88" t="s">
        <v>269</v>
      </c>
      <c r="E17" s="89"/>
      <c r="F17" s="45">
        <f>ROUND(C22*(6/100),2)</f>
        <v>0</v>
      </c>
      <c r="G17" s="88" t="s">
        <v>280</v>
      </c>
      <c r="H17" s="89"/>
      <c r="I17" s="45">
        <v>0</v>
      </c>
      <c r="J17" s="27"/>
    </row>
    <row r="18" spans="1:10" ht="15" customHeight="1">
      <c r="A18" s="36" t="s">
        <v>255</v>
      </c>
      <c r="B18" s="41" t="s">
        <v>264</v>
      </c>
      <c r="C18" s="45">
        <f>SUM('Stavební rozpočet'!U12:U75)</f>
        <v>0</v>
      </c>
      <c r="D18" s="88"/>
      <c r="E18" s="89"/>
      <c r="F18" s="46"/>
      <c r="G18" s="88" t="s">
        <v>281</v>
      </c>
      <c r="H18" s="89"/>
      <c r="I18" s="45">
        <v>0</v>
      </c>
      <c r="J18" s="27"/>
    </row>
    <row r="19" spans="1:10" ht="15" customHeight="1">
      <c r="A19" s="37"/>
      <c r="B19" s="41" t="s">
        <v>202</v>
      </c>
      <c r="C19" s="45">
        <f>SUM('Stavební rozpočet'!V12:V75)</f>
        <v>0</v>
      </c>
      <c r="D19" s="88"/>
      <c r="E19" s="89"/>
      <c r="F19" s="46"/>
      <c r="G19" s="88" t="s">
        <v>282</v>
      </c>
      <c r="H19" s="89"/>
      <c r="I19" s="45">
        <v>0</v>
      </c>
      <c r="J19" s="27"/>
    </row>
    <row r="20" spans="1:10" ht="15" customHeight="1">
      <c r="A20" s="90" t="s">
        <v>169</v>
      </c>
      <c r="B20" s="91"/>
      <c r="C20" s="45">
        <f>SUM('Stavební rozpočet'!W12:W75)</f>
        <v>0</v>
      </c>
      <c r="D20" s="88"/>
      <c r="E20" s="89"/>
      <c r="F20" s="46"/>
      <c r="G20" s="88"/>
      <c r="H20" s="89"/>
      <c r="I20" s="46"/>
      <c r="J20" s="27"/>
    </row>
    <row r="21" spans="1:10" ht="15" customHeight="1">
      <c r="A21" s="90" t="s">
        <v>256</v>
      </c>
      <c r="B21" s="91"/>
      <c r="C21" s="45">
        <f>SUM('Stavební rozpočet'!O12:O75)</f>
        <v>0</v>
      </c>
      <c r="D21" s="88"/>
      <c r="E21" s="89"/>
      <c r="F21" s="46"/>
      <c r="G21" s="88"/>
      <c r="H21" s="89"/>
      <c r="I21" s="46"/>
      <c r="J21" s="27"/>
    </row>
    <row r="22" spans="1:10" ht="16.5" customHeight="1">
      <c r="A22" s="90" t="s">
        <v>257</v>
      </c>
      <c r="B22" s="91"/>
      <c r="C22" s="45">
        <f>SUM(C14:C21)</f>
        <v>0</v>
      </c>
      <c r="D22" s="90" t="s">
        <v>270</v>
      </c>
      <c r="E22" s="91"/>
      <c r="F22" s="45">
        <f>SUM(F14:F21)</f>
        <v>0</v>
      </c>
      <c r="G22" s="90" t="s">
        <v>283</v>
      </c>
      <c r="H22" s="91"/>
      <c r="I22" s="45">
        <f>SUM(I14:I21)</f>
        <v>0</v>
      </c>
      <c r="J22" s="27"/>
    </row>
    <row r="23" spans="1:10" ht="15" customHeight="1">
      <c r="A23" s="7"/>
      <c r="B23" s="7"/>
      <c r="C23" s="43"/>
      <c r="D23" s="90" t="s">
        <v>271</v>
      </c>
      <c r="E23" s="91"/>
      <c r="F23" s="47">
        <v>0</v>
      </c>
      <c r="G23" s="90" t="s">
        <v>284</v>
      </c>
      <c r="H23" s="91"/>
      <c r="I23" s="45">
        <v>0</v>
      </c>
      <c r="J23" s="27"/>
    </row>
    <row r="24" spans="4:9" ht="15" customHeight="1">
      <c r="D24" s="7"/>
      <c r="E24" s="7"/>
      <c r="F24" s="48"/>
      <c r="G24" s="90" t="s">
        <v>285</v>
      </c>
      <c r="H24" s="91"/>
      <c r="I24" s="50"/>
    </row>
    <row r="25" spans="6:10" ht="15" customHeight="1">
      <c r="F25" s="49"/>
      <c r="G25" s="90" t="s">
        <v>286</v>
      </c>
      <c r="H25" s="91"/>
      <c r="I25" s="45">
        <v>0</v>
      </c>
      <c r="J25" s="27"/>
    </row>
    <row r="26" spans="1:9" ht="12.75">
      <c r="A26" s="38"/>
      <c r="B26" s="38"/>
      <c r="C26" s="38"/>
      <c r="G26" s="7"/>
      <c r="H26" s="7"/>
      <c r="I26" s="7"/>
    </row>
    <row r="27" spans="1:9" ht="15" customHeight="1">
      <c r="A27" s="92" t="s">
        <v>258</v>
      </c>
      <c r="B27" s="93"/>
      <c r="C27" s="51">
        <f>SUM('Stavební rozpočet'!Y12:Y75)</f>
        <v>0</v>
      </c>
      <c r="D27" s="44"/>
      <c r="E27" s="38"/>
      <c r="F27" s="38"/>
      <c r="G27" s="38"/>
      <c r="H27" s="38"/>
      <c r="I27" s="38"/>
    </row>
    <row r="28" spans="1:10" ht="15" customHeight="1">
      <c r="A28" s="92" t="s">
        <v>259</v>
      </c>
      <c r="B28" s="93"/>
      <c r="C28" s="51">
        <f>SUM('Stavební rozpočet'!Z12:Z75)</f>
        <v>0</v>
      </c>
      <c r="D28" s="92" t="s">
        <v>272</v>
      </c>
      <c r="E28" s="93"/>
      <c r="F28" s="51">
        <f>ROUND(C28*(15/100),2)</f>
        <v>0</v>
      </c>
      <c r="G28" s="92" t="s">
        <v>287</v>
      </c>
      <c r="H28" s="93"/>
      <c r="I28" s="51">
        <f>SUM(C27:C29)</f>
        <v>0</v>
      </c>
      <c r="J28" s="27"/>
    </row>
    <row r="29" spans="1:10" ht="15" customHeight="1">
      <c r="A29" s="92" t="s">
        <v>260</v>
      </c>
      <c r="B29" s="93"/>
      <c r="C29" s="51">
        <f>SUM('Stavební rozpočet'!AA12:AA75)+(F22+I22+F23+I23+I24+I25)</f>
        <v>0</v>
      </c>
      <c r="D29" s="92" t="s">
        <v>273</v>
      </c>
      <c r="E29" s="93"/>
      <c r="F29" s="51">
        <f>ROUND(C29*(21/100),2)</f>
        <v>0</v>
      </c>
      <c r="G29" s="92" t="s">
        <v>288</v>
      </c>
      <c r="H29" s="93"/>
      <c r="I29" s="51">
        <f>SUM(F28:F29)+I28</f>
        <v>0</v>
      </c>
      <c r="J29" s="27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25" customHeight="1">
      <c r="A31" s="94" t="s">
        <v>261</v>
      </c>
      <c r="B31" s="95"/>
      <c r="C31" s="96"/>
      <c r="D31" s="94" t="s">
        <v>274</v>
      </c>
      <c r="E31" s="95"/>
      <c r="F31" s="96"/>
      <c r="G31" s="94" t="s">
        <v>289</v>
      </c>
      <c r="H31" s="95"/>
      <c r="I31" s="96"/>
      <c r="J31" s="28"/>
    </row>
    <row r="32" spans="1:10" ht="14.25" customHeight="1">
      <c r="A32" s="97"/>
      <c r="B32" s="98"/>
      <c r="C32" s="99"/>
      <c r="D32" s="97"/>
      <c r="E32" s="98"/>
      <c r="F32" s="99"/>
      <c r="G32" s="97"/>
      <c r="H32" s="98"/>
      <c r="I32" s="99"/>
      <c r="J32" s="28"/>
    </row>
    <row r="33" spans="1:10" ht="14.25" customHeight="1">
      <c r="A33" s="97"/>
      <c r="B33" s="98"/>
      <c r="C33" s="99"/>
      <c r="D33" s="97"/>
      <c r="E33" s="98"/>
      <c r="F33" s="99"/>
      <c r="G33" s="97"/>
      <c r="H33" s="98"/>
      <c r="I33" s="99"/>
      <c r="J33" s="28"/>
    </row>
    <row r="34" spans="1:10" ht="14.25" customHeight="1">
      <c r="A34" s="97"/>
      <c r="B34" s="98"/>
      <c r="C34" s="99"/>
      <c r="D34" s="97"/>
      <c r="E34" s="98"/>
      <c r="F34" s="99"/>
      <c r="G34" s="97"/>
      <c r="H34" s="98"/>
      <c r="I34" s="99"/>
      <c r="J34" s="28"/>
    </row>
    <row r="35" spans="1:10" ht="14.25" customHeight="1">
      <c r="A35" s="100" t="s">
        <v>262</v>
      </c>
      <c r="B35" s="101"/>
      <c r="C35" s="102"/>
      <c r="D35" s="100" t="s">
        <v>262</v>
      </c>
      <c r="E35" s="101"/>
      <c r="F35" s="102"/>
      <c r="G35" s="100" t="s">
        <v>262</v>
      </c>
      <c r="H35" s="101"/>
      <c r="I35" s="102"/>
      <c r="J35" s="28"/>
    </row>
    <row r="36" spans="1:9" ht="11.25" customHeight="1">
      <c r="A36" s="40" t="s">
        <v>52</v>
      </c>
      <c r="B36" s="42"/>
      <c r="C36" s="42"/>
      <c r="D36" s="42"/>
      <c r="E36" s="42"/>
      <c r="F36" s="42"/>
      <c r="G36" s="42"/>
      <c r="H36" s="42"/>
      <c r="I36" s="42"/>
    </row>
    <row r="37" spans="1:9" ht="409.5" customHeight="1" hidden="1">
      <c r="A37" s="63"/>
      <c r="B37" s="57"/>
      <c r="C37" s="57"/>
      <c r="D37" s="57"/>
      <c r="E37" s="57"/>
      <c r="F37" s="57"/>
      <c r="G37" s="57"/>
      <c r="H37" s="57"/>
      <c r="I37" s="5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dcterms:created xsi:type="dcterms:W3CDTF">2022-05-04T10:57:24Z</dcterms:created>
  <dcterms:modified xsi:type="dcterms:W3CDTF">2022-05-10T09:06:02Z</dcterms:modified>
  <cp:category/>
  <cp:version/>
  <cp:contentType/>
  <cp:contentStatus/>
</cp:coreProperties>
</file>