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estice2\Documents\ZŠ Ústecká\Veřejná zakázka dle zákona\Reko sport. areálu 2023\"/>
    </mc:Choice>
  </mc:AlternateContent>
  <xr:revisionPtr revIDLastSave="0" documentId="8_{E95C32E8-58CB-43C9-B5E1-5EFDC972EA93}" xr6:coauthVersionLast="47" xr6:coauthVersionMax="47" xr10:uidLastSave="{00000000-0000-0000-0000-000000000000}"/>
  <workbookProtection workbookPassword="DC7B" lockStructure="1"/>
  <bookViews>
    <workbookView xWindow="-120" yWindow="-120" windowWidth="29040" windowHeight="15720" tabRatio="725" activeTab="1" xr2:uid="{00000000-000D-0000-FFFF-FFFF00000000}"/>
  </bookViews>
  <sheets>
    <sheet name="Krycí list rozpočtu" sheetId="4" r:id="rId1"/>
    <sheet name="Stavební rozpočet SO1 " sheetId="5" r:id="rId2"/>
    <sheet name="Stavební rozpočet SO1.1" sheetId="6" r:id="rId3"/>
    <sheet name="Vedlejší náklady" sheetId="1" r:id="rId4"/>
  </sheets>
  <definedNames>
    <definedName name="_xlnm.Print_Area" localSheetId="0">#N/A</definedName>
    <definedName name="_xlnm.Print_Area" localSheetId="1">#N/A</definedName>
    <definedName name="_xlnm.Print_Area" localSheetId="3">#N/A</definedName>
  </definedNames>
  <calcPr calcId="191029"/>
</workbook>
</file>

<file path=xl/calcChain.xml><?xml version="1.0" encoding="utf-8"?>
<calcChain xmlns="http://schemas.openxmlformats.org/spreadsheetml/2006/main">
  <c r="F23" i="4" l="1"/>
  <c r="H14" i="5"/>
  <c r="J16" i="5"/>
  <c r="I16" i="5"/>
  <c r="H13" i="5"/>
  <c r="J33" i="5"/>
  <c r="J28" i="5"/>
  <c r="F149" i="5"/>
  <c r="F157" i="5"/>
  <c r="F72" i="5"/>
  <c r="F71" i="5"/>
  <c r="F214" i="5"/>
  <c r="F70" i="5"/>
  <c r="F69" i="5"/>
  <c r="F68" i="5"/>
  <c r="F67" i="5"/>
  <c r="J67" i="5"/>
  <c r="I213" i="5"/>
  <c r="J213" i="5"/>
  <c r="F212" i="5"/>
  <c r="F211" i="5"/>
  <c r="I211" i="5"/>
  <c r="J211" i="5"/>
  <c r="AH12" i="6"/>
  <c r="AG12" i="6"/>
  <c r="AF12" i="6"/>
  <c r="I210" i="5"/>
  <c r="J210" i="5"/>
  <c r="J207" i="5"/>
  <c r="Y204" i="5"/>
  <c r="J206" i="5"/>
  <c r="W203" i="5"/>
  <c r="J205" i="5"/>
  <c r="H205" i="5"/>
  <c r="J204" i="5"/>
  <c r="J203" i="5"/>
  <c r="X198" i="5"/>
  <c r="J189" i="5"/>
  <c r="J190" i="5"/>
  <c r="J191" i="5"/>
  <c r="J192" i="5"/>
  <c r="J193" i="5"/>
  <c r="J194" i="5"/>
  <c r="J195" i="5"/>
  <c r="J188" i="5"/>
  <c r="J186" i="5"/>
  <c r="H188" i="5"/>
  <c r="J187" i="5"/>
  <c r="J181" i="5"/>
  <c r="H181" i="5"/>
  <c r="J178" i="5"/>
  <c r="H178" i="5"/>
  <c r="H177" i="5"/>
  <c r="J177" i="5"/>
  <c r="J176" i="5"/>
  <c r="H176" i="5"/>
  <c r="I176" i="5"/>
  <c r="H175" i="5"/>
  <c r="J175" i="5"/>
  <c r="J173" i="5"/>
  <c r="H173" i="5"/>
  <c r="J148" i="5"/>
  <c r="X148" i="5"/>
  <c r="J146" i="5"/>
  <c r="J145" i="5"/>
  <c r="J140" i="5"/>
  <c r="Y140" i="5"/>
  <c r="J136" i="5"/>
  <c r="J135" i="5"/>
  <c r="J134" i="5"/>
  <c r="W134" i="5"/>
  <c r="J133" i="5"/>
  <c r="J132" i="5"/>
  <c r="J115" i="5"/>
  <c r="J92" i="5"/>
  <c r="J17" i="5"/>
  <c r="J15" i="5"/>
  <c r="J14" i="5"/>
  <c r="J13" i="5"/>
  <c r="J39" i="6"/>
  <c r="I39" i="6"/>
  <c r="H39" i="6"/>
  <c r="F37" i="6"/>
  <c r="H37" i="6"/>
  <c r="J37" i="6"/>
  <c r="I37" i="6"/>
  <c r="H35" i="6"/>
  <c r="F35" i="6"/>
  <c r="J35" i="6"/>
  <c r="I35" i="6"/>
  <c r="F33" i="6"/>
  <c r="H33" i="6"/>
  <c r="F29" i="6"/>
  <c r="H29" i="6"/>
  <c r="J29" i="6"/>
  <c r="F25" i="6"/>
  <c r="H25" i="6"/>
  <c r="J25" i="6"/>
  <c r="H21" i="6"/>
  <c r="F21" i="6"/>
  <c r="J21" i="6"/>
  <c r="AC19" i="6"/>
  <c r="AB19" i="6"/>
  <c r="J19" i="6"/>
  <c r="F19" i="6"/>
  <c r="I19" i="6"/>
  <c r="F18" i="6"/>
  <c r="F17" i="6"/>
  <c r="J17" i="6"/>
  <c r="I17" i="6"/>
  <c r="AC15" i="6"/>
  <c r="AB15" i="6"/>
  <c r="F15" i="6"/>
  <c r="H15" i="6"/>
  <c r="H12" i="6" s="1"/>
  <c r="J15" i="6"/>
  <c r="W15" i="6" s="1"/>
  <c r="F13" i="6"/>
  <c r="H13" i="6"/>
  <c r="I214" i="5"/>
  <c r="J214" i="5"/>
  <c r="AC208" i="5"/>
  <c r="AB208" i="5"/>
  <c r="Y208" i="5"/>
  <c r="X208" i="5"/>
  <c r="W208" i="5"/>
  <c r="L208" i="5"/>
  <c r="J209" i="5"/>
  <c r="H209" i="5"/>
  <c r="H208" i="5"/>
  <c r="F168" i="5"/>
  <c r="F167" i="5"/>
  <c r="J167" i="5"/>
  <c r="H136" i="5"/>
  <c r="H135" i="5"/>
  <c r="AC134" i="5"/>
  <c r="AB134" i="5"/>
  <c r="H134" i="5"/>
  <c r="F98" i="5"/>
  <c r="F97" i="5"/>
  <c r="AC150" i="5"/>
  <c r="AB150" i="5"/>
  <c r="F80" i="5"/>
  <c r="F79" i="5"/>
  <c r="H79" i="5"/>
  <c r="F64" i="5"/>
  <c r="F63" i="5"/>
  <c r="J63" i="5"/>
  <c r="F62" i="5"/>
  <c r="F61" i="5"/>
  <c r="F30" i="5"/>
  <c r="F32" i="5"/>
  <c r="F24" i="5"/>
  <c r="J24" i="5"/>
  <c r="AC24" i="5"/>
  <c r="AB24" i="5"/>
  <c r="F19" i="5"/>
  <c r="F18" i="5"/>
  <c r="H195" i="5"/>
  <c r="H194" i="5"/>
  <c r="H193" i="5"/>
  <c r="H192" i="5"/>
  <c r="I192" i="5"/>
  <c r="H191" i="5"/>
  <c r="H190" i="5"/>
  <c r="H189" i="5"/>
  <c r="I189" i="5"/>
  <c r="F27" i="5"/>
  <c r="F26" i="5"/>
  <c r="I15" i="5"/>
  <c r="H15" i="5"/>
  <c r="F91" i="5"/>
  <c r="F90" i="5"/>
  <c r="J90" i="5"/>
  <c r="Y90" i="5"/>
  <c r="F59" i="5"/>
  <c r="F57" i="5"/>
  <c r="F58" i="5"/>
  <c r="F56" i="5"/>
  <c r="F55" i="5"/>
  <c r="F43" i="5"/>
  <c r="F41" i="5"/>
  <c r="F40" i="5"/>
  <c r="F53" i="5"/>
  <c r="F51" i="5"/>
  <c r="F50" i="5"/>
  <c r="F49" i="5"/>
  <c r="F48" i="5"/>
  <c r="F47" i="5"/>
  <c r="F46" i="5"/>
  <c r="F45" i="5"/>
  <c r="F39" i="5"/>
  <c r="F38" i="5"/>
  <c r="F37" i="5"/>
  <c r="F36" i="5"/>
  <c r="F35" i="5"/>
  <c r="F87" i="5"/>
  <c r="F86" i="5"/>
  <c r="F84" i="5"/>
  <c r="F83" i="5"/>
  <c r="F82" i="5"/>
  <c r="AC85" i="5"/>
  <c r="AB85" i="5"/>
  <c r="F152" i="5"/>
  <c r="F164" i="5"/>
  <c r="J164" i="5"/>
  <c r="F163" i="5"/>
  <c r="F162" i="5"/>
  <c r="F125" i="5"/>
  <c r="H125" i="5"/>
  <c r="F119" i="5"/>
  <c r="F118" i="5"/>
  <c r="F114" i="5"/>
  <c r="F113" i="5"/>
  <c r="F112" i="5"/>
  <c r="F110" i="5"/>
  <c r="F109" i="5"/>
  <c r="F95" i="5"/>
  <c r="F96" i="5"/>
  <c r="F100" i="5"/>
  <c r="F101" i="5"/>
  <c r="F99" i="5"/>
  <c r="H99" i="5"/>
  <c r="F107" i="5"/>
  <c r="F106" i="5"/>
  <c r="F105" i="5"/>
  <c r="F103" i="5"/>
  <c r="F104" i="5"/>
  <c r="F179" i="5"/>
  <c r="J179" i="5"/>
  <c r="F202" i="5"/>
  <c r="H202" i="5"/>
  <c r="F201" i="5"/>
  <c r="F199" i="5"/>
  <c r="F200" i="5"/>
  <c r="AC187" i="5"/>
  <c r="AB187" i="5"/>
  <c r="AC186" i="5"/>
  <c r="AB186" i="5"/>
  <c r="H186" i="5"/>
  <c r="X186" i="5"/>
  <c r="F174" i="5"/>
  <c r="H174" i="5"/>
  <c r="F171" i="5"/>
  <c r="F170" i="5"/>
  <c r="J170" i="5"/>
  <c r="F144" i="5"/>
  <c r="F143" i="5"/>
  <c r="F129" i="5"/>
  <c r="F128" i="5"/>
  <c r="F138" i="5"/>
  <c r="F137" i="5"/>
  <c r="H137" i="5"/>
  <c r="F139" i="5"/>
  <c r="J139" i="5"/>
  <c r="F141" i="5"/>
  <c r="J141" i="5"/>
  <c r="H133" i="5"/>
  <c r="H132" i="5"/>
  <c r="F131" i="5"/>
  <c r="F130" i="5"/>
  <c r="J130" i="5"/>
  <c r="F124" i="5"/>
  <c r="F123" i="5"/>
  <c r="F122" i="5"/>
  <c r="F121" i="5"/>
  <c r="F120" i="5"/>
  <c r="I17" i="5"/>
  <c r="H17" i="5"/>
  <c r="H16" i="5"/>
  <c r="H73" i="5"/>
  <c r="J73" i="5"/>
  <c r="J74" i="5"/>
  <c r="H74" i="5"/>
  <c r="H115" i="5"/>
  <c r="I115" i="5"/>
  <c r="H146" i="5"/>
  <c r="H145" i="5"/>
  <c r="AC162" i="5"/>
  <c r="AB162" i="5"/>
  <c r="AC92" i="5"/>
  <c r="AB92" i="5"/>
  <c r="H92" i="5"/>
  <c r="I92" i="5"/>
  <c r="L92" i="5"/>
  <c r="Y92" i="5"/>
  <c r="AC90" i="5"/>
  <c r="AB90" i="5"/>
  <c r="AC88" i="5"/>
  <c r="AB88" i="5"/>
  <c r="AC82" i="5"/>
  <c r="AB82" i="5"/>
  <c r="F77" i="5"/>
  <c r="J77" i="5"/>
  <c r="I74" i="5"/>
  <c r="I73" i="5"/>
  <c r="I14" i="5"/>
  <c r="I13" i="5"/>
  <c r="I12" i="5" s="1"/>
  <c r="AB185" i="5"/>
  <c r="H187" i="5"/>
  <c r="I187" i="5"/>
  <c r="AC185" i="5"/>
  <c r="AB12" i="1"/>
  <c r="AA12" i="1"/>
  <c r="X12" i="1"/>
  <c r="W12" i="1"/>
  <c r="V12" i="1"/>
  <c r="K12" i="1"/>
  <c r="J28" i="1"/>
  <c r="J26" i="1"/>
  <c r="J24" i="1"/>
  <c r="J23" i="1"/>
  <c r="J21" i="1"/>
  <c r="J19" i="1"/>
  <c r="J17" i="1"/>
  <c r="J15" i="1"/>
  <c r="J13" i="1"/>
  <c r="L28" i="1"/>
  <c r="L26" i="1"/>
  <c r="L24" i="1"/>
  <c r="L23" i="1"/>
  <c r="L21" i="1"/>
  <c r="L19" i="1"/>
  <c r="L17" i="1"/>
  <c r="L15" i="1"/>
  <c r="L13" i="1"/>
  <c r="AC207" i="5"/>
  <c r="AB207" i="5"/>
  <c r="AC206" i="5"/>
  <c r="AB206" i="5"/>
  <c r="AC204" i="5"/>
  <c r="AB204" i="5"/>
  <c r="H207" i="5"/>
  <c r="I207" i="5"/>
  <c r="L204" i="5"/>
  <c r="AC203" i="5"/>
  <c r="AB203" i="5"/>
  <c r="H206" i="5"/>
  <c r="I206" i="5"/>
  <c r="L203" i="5"/>
  <c r="AC202" i="5"/>
  <c r="AB202" i="5"/>
  <c r="H204" i="5"/>
  <c r="I204" i="5"/>
  <c r="L202" i="5"/>
  <c r="AC198" i="5"/>
  <c r="AB198" i="5"/>
  <c r="H203" i="5"/>
  <c r="I203" i="5"/>
  <c r="L198" i="5"/>
  <c r="Y197" i="5"/>
  <c r="AC197" i="5"/>
  <c r="AB197" i="5"/>
  <c r="AC196" i="5"/>
  <c r="AB196" i="5"/>
  <c r="L196" i="5"/>
  <c r="AC170" i="5"/>
  <c r="AB170" i="5"/>
  <c r="AC169" i="5"/>
  <c r="AB169" i="5"/>
  <c r="H169" i="5"/>
  <c r="J169" i="5"/>
  <c r="Y169" i="5"/>
  <c r="AC167" i="5"/>
  <c r="AB167" i="5"/>
  <c r="AC157" i="5"/>
  <c r="AB157" i="5"/>
  <c r="AC152" i="5"/>
  <c r="AB152" i="5"/>
  <c r="H152" i="5"/>
  <c r="AC149" i="5"/>
  <c r="AB149" i="5"/>
  <c r="AC148" i="5"/>
  <c r="AB148" i="5"/>
  <c r="H148" i="5"/>
  <c r="AC143" i="5"/>
  <c r="AB143" i="5"/>
  <c r="AC141" i="5"/>
  <c r="AB141" i="5"/>
  <c r="AC140" i="5"/>
  <c r="AB140" i="5"/>
  <c r="H140" i="5"/>
  <c r="I140" i="5"/>
  <c r="L140" i="5"/>
  <c r="X140" i="5"/>
  <c r="AC139" i="5"/>
  <c r="AB139" i="5"/>
  <c r="AC130" i="5"/>
  <c r="AB130" i="5"/>
  <c r="AC128" i="5"/>
  <c r="AB128" i="5"/>
  <c r="AC117" i="5"/>
  <c r="AB117" i="5"/>
  <c r="AC65" i="5"/>
  <c r="AB65" i="5"/>
  <c r="AC63" i="5"/>
  <c r="AB63" i="5"/>
  <c r="AC61" i="5"/>
  <c r="AB61" i="5"/>
  <c r="AC44" i="5"/>
  <c r="AB44" i="5"/>
  <c r="AC34" i="5"/>
  <c r="AB34" i="5"/>
  <c r="AC31" i="5"/>
  <c r="AB31" i="5"/>
  <c r="AC29" i="5"/>
  <c r="AB29" i="5"/>
  <c r="AC20" i="5"/>
  <c r="AB20" i="5"/>
  <c r="W197" i="5"/>
  <c r="X197" i="5"/>
  <c r="W206" i="5"/>
  <c r="Y207" i="5"/>
  <c r="X207" i="5"/>
  <c r="W207" i="5"/>
  <c r="L207" i="5"/>
  <c r="Y196" i="5"/>
  <c r="X196" i="5"/>
  <c r="W196" i="5"/>
  <c r="X206" i="5"/>
  <c r="AH172" i="5"/>
  <c r="AF172" i="5"/>
  <c r="AG172" i="5"/>
  <c r="L206" i="5"/>
  <c r="Y206" i="5"/>
  <c r="L197" i="5"/>
  <c r="AF81" i="5"/>
  <c r="AH81" i="5"/>
  <c r="AG81" i="5"/>
  <c r="I186" i="5"/>
  <c r="W140" i="5"/>
  <c r="F54" i="5"/>
  <c r="F23" i="5"/>
  <c r="AH93" i="5"/>
  <c r="AF93" i="5"/>
  <c r="AG93" i="5"/>
  <c r="I188" i="5"/>
  <c r="L186" i="5"/>
  <c r="H164" i="5"/>
  <c r="J174" i="5"/>
  <c r="I205" i="5"/>
  <c r="J152" i="5"/>
  <c r="Y152" i="5"/>
  <c r="I173" i="5"/>
  <c r="H17" i="6"/>
  <c r="Y15" i="6"/>
  <c r="I134" i="5"/>
  <c r="L134" i="5"/>
  <c r="X92" i="5"/>
  <c r="W186" i="5"/>
  <c r="X202" i="5"/>
  <c r="W204" i="5"/>
  <c r="X204" i="5"/>
  <c r="W92" i="5"/>
  <c r="Y186" i="5"/>
  <c r="I21" i="6"/>
  <c r="Y19" i="6"/>
  <c r="X19" i="6"/>
  <c r="W19" i="6"/>
  <c r="I25" i="6"/>
  <c r="I29" i="6"/>
  <c r="I15" i="6"/>
  <c r="X134" i="5"/>
  <c r="X15" i="6"/>
  <c r="Y202" i="5"/>
  <c r="Y198" i="5"/>
  <c r="Y134" i="5"/>
  <c r="W202" i="5"/>
  <c r="F29" i="5"/>
  <c r="F21" i="5"/>
  <c r="J33" i="6"/>
  <c r="I33" i="6"/>
  <c r="W198" i="5"/>
  <c r="X203" i="5"/>
  <c r="Y203" i="5"/>
  <c r="X169" i="5"/>
  <c r="J13" i="6"/>
  <c r="W169" i="5"/>
  <c r="J137" i="5"/>
  <c r="I175" i="5"/>
  <c r="F108" i="5"/>
  <c r="H108" i="5"/>
  <c r="W152" i="5"/>
  <c r="H130" i="5"/>
  <c r="H167" i="5"/>
  <c r="F150" i="5"/>
  <c r="I145" i="5"/>
  <c r="X152" i="5"/>
  <c r="X170" i="5"/>
  <c r="Y170" i="5"/>
  <c r="I136" i="5"/>
  <c r="F198" i="5"/>
  <c r="J198" i="5"/>
  <c r="I209" i="5"/>
  <c r="I208" i="5"/>
  <c r="J208" i="5"/>
  <c r="I146" i="5"/>
  <c r="F85" i="5"/>
  <c r="F89" i="5"/>
  <c r="F88" i="5"/>
  <c r="H69" i="5"/>
  <c r="J69" i="5"/>
  <c r="I69" i="5"/>
  <c r="H179" i="5"/>
  <c r="H172" i="5"/>
  <c r="I179" i="5"/>
  <c r="J202" i="5"/>
  <c r="I202" i="5"/>
  <c r="J125" i="5"/>
  <c r="I125" i="5"/>
  <c r="F94" i="5"/>
  <c r="J94" i="5"/>
  <c r="I195" i="5"/>
  <c r="I152" i="5"/>
  <c r="L152" i="5"/>
  <c r="I178" i="5"/>
  <c r="I137" i="5"/>
  <c r="H24" i="5"/>
  <c r="I24" i="5"/>
  <c r="L24" i="5"/>
  <c r="W90" i="5"/>
  <c r="H90" i="5"/>
  <c r="I90" i="5"/>
  <c r="L90" i="5"/>
  <c r="I181" i="5"/>
  <c r="J157" i="5"/>
  <c r="W157" i="5"/>
  <c r="W24" i="5"/>
  <c r="Y24" i="5"/>
  <c r="X24" i="5"/>
  <c r="H26" i="5"/>
  <c r="J26" i="5"/>
  <c r="I26" i="5"/>
  <c r="H94" i="5"/>
  <c r="J97" i="5"/>
  <c r="H97" i="5"/>
  <c r="X139" i="5"/>
  <c r="W139" i="5"/>
  <c r="Y139" i="5"/>
  <c r="J29" i="5"/>
  <c r="I148" i="5"/>
  <c r="L148" i="5"/>
  <c r="W170" i="5"/>
  <c r="J79" i="5"/>
  <c r="I79" i="5"/>
  <c r="I194" i="5"/>
  <c r="H139" i="5"/>
  <c r="I139" i="5"/>
  <c r="L139" i="5"/>
  <c r="H63" i="5"/>
  <c r="I63" i="5"/>
  <c r="L63" i="5"/>
  <c r="H141" i="5"/>
  <c r="I141" i="5"/>
  <c r="L141" i="5"/>
  <c r="F34" i="5"/>
  <c r="H34" i="5"/>
  <c r="I193" i="5"/>
  <c r="Y148" i="5"/>
  <c r="I169" i="5"/>
  <c r="L169" i="5"/>
  <c r="F111" i="5"/>
  <c r="H111" i="5"/>
  <c r="J108" i="5"/>
  <c r="I108" i="5"/>
  <c r="I191" i="5"/>
  <c r="F117" i="5"/>
  <c r="H117" i="5"/>
  <c r="H116" i="5"/>
  <c r="I190" i="5"/>
  <c r="H29" i="5"/>
  <c r="W148" i="5"/>
  <c r="H170" i="5"/>
  <c r="I170" i="5"/>
  <c r="L170" i="5"/>
  <c r="I132" i="5"/>
  <c r="I177" i="5"/>
  <c r="I133" i="5"/>
  <c r="I174" i="5"/>
  <c r="F102" i="5"/>
  <c r="J102" i="5"/>
  <c r="H54" i="5"/>
  <c r="I164" i="5"/>
  <c r="I135" i="5"/>
  <c r="J54" i="5"/>
  <c r="I130" i="5"/>
  <c r="L130" i="5"/>
  <c r="X90" i="5"/>
  <c r="Y63" i="5"/>
  <c r="X63" i="5"/>
  <c r="W63" i="5"/>
  <c r="J128" i="5"/>
  <c r="H128" i="5"/>
  <c r="J143" i="5"/>
  <c r="H143" i="5"/>
  <c r="H18" i="5"/>
  <c r="J18" i="5"/>
  <c r="I18" i="5"/>
  <c r="I167" i="5"/>
  <c r="Y167" i="5"/>
  <c r="AH166" i="5"/>
  <c r="X167" i="5"/>
  <c r="AG166" i="5"/>
  <c r="W167" i="5"/>
  <c r="J57" i="5"/>
  <c r="H57" i="5"/>
  <c r="H162" i="5"/>
  <c r="J162" i="5"/>
  <c r="J71" i="5"/>
  <c r="H71" i="5"/>
  <c r="W141" i="5"/>
  <c r="X141" i="5"/>
  <c r="Y141" i="5"/>
  <c r="H61" i="5"/>
  <c r="F66" i="5"/>
  <c r="F65" i="5"/>
  <c r="F75" i="5"/>
  <c r="J61" i="5"/>
  <c r="H82" i="5"/>
  <c r="J99" i="5"/>
  <c r="I99" i="5"/>
  <c r="J82" i="5"/>
  <c r="Y130" i="5"/>
  <c r="F31" i="5"/>
  <c r="W130" i="5"/>
  <c r="X130" i="5"/>
  <c r="H67" i="5"/>
  <c r="I67" i="5"/>
  <c r="H77" i="5"/>
  <c r="H76" i="5"/>
  <c r="H157" i="5"/>
  <c r="J85" i="5"/>
  <c r="J34" i="5"/>
  <c r="F44" i="5"/>
  <c r="F22" i="5"/>
  <c r="F20" i="5"/>
  <c r="H85" i="5"/>
  <c r="H81" i="5"/>
  <c r="F197" i="5"/>
  <c r="H198" i="5"/>
  <c r="AF166" i="5"/>
  <c r="I94" i="5"/>
  <c r="I172" i="5"/>
  <c r="J172" i="5"/>
  <c r="M172" i="5"/>
  <c r="P172" i="5"/>
  <c r="X157" i="5"/>
  <c r="Y157" i="5"/>
  <c r="H151" i="5"/>
  <c r="X29" i="5"/>
  <c r="Y29" i="5"/>
  <c r="W29" i="5"/>
  <c r="J117" i="5"/>
  <c r="Y117" i="5"/>
  <c r="AH116" i="5"/>
  <c r="I97" i="5"/>
  <c r="I71" i="5"/>
  <c r="I29" i="5"/>
  <c r="I54" i="5"/>
  <c r="H102" i="5"/>
  <c r="H93" i="5"/>
  <c r="O93" i="5"/>
  <c r="J111" i="5"/>
  <c r="I111" i="5"/>
  <c r="H166" i="5"/>
  <c r="I77" i="5"/>
  <c r="I76" i="5"/>
  <c r="J76" i="5"/>
  <c r="H197" i="5"/>
  <c r="H196" i="5"/>
  <c r="J197" i="5"/>
  <c r="X85" i="5"/>
  <c r="W85" i="5"/>
  <c r="Y85" i="5"/>
  <c r="I85" i="5"/>
  <c r="L85" i="5"/>
  <c r="I198" i="5"/>
  <c r="W162" i="5"/>
  <c r="I162" i="5"/>
  <c r="L162" i="5"/>
  <c r="X162" i="5"/>
  <c r="Y162" i="5"/>
  <c r="H88" i="5"/>
  <c r="J88" i="5"/>
  <c r="I166" i="5"/>
  <c r="L167" i="5"/>
  <c r="I75" i="5"/>
  <c r="J75" i="5"/>
  <c r="H75" i="5"/>
  <c r="H65" i="5"/>
  <c r="J65" i="5"/>
  <c r="H31" i="5"/>
  <c r="H28" i="5"/>
  <c r="J31" i="5"/>
  <c r="W128" i="5"/>
  <c r="AF127" i="5"/>
  <c r="I128" i="5"/>
  <c r="Y128" i="5"/>
  <c r="X128" i="5"/>
  <c r="Q172" i="5"/>
  <c r="U172" i="5"/>
  <c r="S172" i="5"/>
  <c r="O172" i="5"/>
  <c r="I61" i="5"/>
  <c r="X61" i="5"/>
  <c r="W61" i="5"/>
  <c r="Y61" i="5"/>
  <c r="I82" i="5"/>
  <c r="W82" i="5"/>
  <c r="X82" i="5"/>
  <c r="Y82" i="5"/>
  <c r="H44" i="5"/>
  <c r="H33" i="5"/>
  <c r="J44" i="5"/>
  <c r="H20" i="5"/>
  <c r="H12" i="5"/>
  <c r="S12" i="5"/>
  <c r="J20" i="5"/>
  <c r="I143" i="5"/>
  <c r="L143" i="5"/>
  <c r="X143" i="5"/>
  <c r="Y143" i="5"/>
  <c r="W143" i="5"/>
  <c r="X34" i="5"/>
  <c r="W34" i="5"/>
  <c r="I34" i="5"/>
  <c r="Y34" i="5"/>
  <c r="O116" i="5"/>
  <c r="Q116" i="5"/>
  <c r="U116" i="5"/>
  <c r="S116" i="5"/>
  <c r="L29" i="5"/>
  <c r="H127" i="5"/>
  <c r="I57" i="5"/>
  <c r="I157" i="5"/>
  <c r="AG127" i="5"/>
  <c r="AH127" i="5"/>
  <c r="U93" i="5"/>
  <c r="AH151" i="5"/>
  <c r="S93" i="5"/>
  <c r="X117" i="5"/>
  <c r="AG116" i="5"/>
  <c r="Q93" i="5"/>
  <c r="I117" i="5"/>
  <c r="L117" i="5"/>
  <c r="H60" i="5"/>
  <c r="S60" i="5"/>
  <c r="W117" i="5"/>
  <c r="AF116" i="5"/>
  <c r="Q166" i="5"/>
  <c r="O166" i="5"/>
  <c r="S166" i="5"/>
  <c r="U166" i="5"/>
  <c r="T172" i="5"/>
  <c r="I102" i="5"/>
  <c r="I93" i="5"/>
  <c r="J93" i="5"/>
  <c r="M93" i="5"/>
  <c r="P93" i="5"/>
  <c r="R172" i="5"/>
  <c r="L82" i="5"/>
  <c r="W185" i="5"/>
  <c r="I197" i="5"/>
  <c r="X185" i="5"/>
  <c r="Y185" i="5"/>
  <c r="L128" i="5"/>
  <c r="I127" i="5"/>
  <c r="Y65" i="5"/>
  <c r="AH60" i="5"/>
  <c r="X65" i="5"/>
  <c r="AG60" i="5"/>
  <c r="W65" i="5"/>
  <c r="AF60" i="5"/>
  <c r="I65" i="5"/>
  <c r="L65" i="5"/>
  <c r="S127" i="5"/>
  <c r="Q127" i="5"/>
  <c r="U127" i="5"/>
  <c r="O127" i="5"/>
  <c r="Q184" i="5"/>
  <c r="S184" i="5"/>
  <c r="O184" i="5"/>
  <c r="U184" i="5"/>
  <c r="U28" i="5"/>
  <c r="O28" i="5"/>
  <c r="S28" i="5"/>
  <c r="Q28" i="5"/>
  <c r="Y31" i="5"/>
  <c r="AH28" i="5"/>
  <c r="W31" i="5"/>
  <c r="AF28" i="5"/>
  <c r="I31" i="5"/>
  <c r="X31" i="5"/>
  <c r="AG28" i="5"/>
  <c r="O81" i="5"/>
  <c r="S81" i="5"/>
  <c r="U81" i="5"/>
  <c r="Q81" i="5"/>
  <c r="W44" i="5"/>
  <c r="AF33" i="5"/>
  <c r="I44" i="5"/>
  <c r="L44" i="5"/>
  <c r="Y44" i="5"/>
  <c r="AH33" i="5"/>
  <c r="X44" i="5"/>
  <c r="AG33" i="5"/>
  <c r="J166" i="5"/>
  <c r="M166" i="5"/>
  <c r="R166" i="5"/>
  <c r="L61" i="5"/>
  <c r="I88" i="5"/>
  <c r="L88" i="5"/>
  <c r="Y88" i="5"/>
  <c r="W88" i="5"/>
  <c r="X88" i="5"/>
  <c r="O33" i="5"/>
  <c r="U33" i="5"/>
  <c r="S33" i="5"/>
  <c r="Q33" i="5"/>
  <c r="L34" i="5"/>
  <c r="I20" i="5"/>
  <c r="X20" i="5"/>
  <c r="AG12" i="5"/>
  <c r="W20" i="5"/>
  <c r="AF12" i="5"/>
  <c r="Y20" i="5"/>
  <c r="AH12" i="5"/>
  <c r="O151" i="5"/>
  <c r="U151" i="5"/>
  <c r="S151" i="5"/>
  <c r="Q151" i="5"/>
  <c r="J150" i="5"/>
  <c r="H150" i="5"/>
  <c r="L157" i="5"/>
  <c r="AF151" i="5"/>
  <c r="AG151" i="5"/>
  <c r="J149" i="5"/>
  <c r="H149" i="5"/>
  <c r="H147" i="5"/>
  <c r="I81" i="5"/>
  <c r="O60" i="5"/>
  <c r="Q60" i="5"/>
  <c r="I116" i="5"/>
  <c r="U60" i="5"/>
  <c r="P166" i="5"/>
  <c r="I33" i="5"/>
  <c r="T166" i="5"/>
  <c r="L20" i="5"/>
  <c r="J116" i="5"/>
  <c r="M116" i="5"/>
  <c r="P116" i="5"/>
  <c r="I196" i="5"/>
  <c r="L185" i="5"/>
  <c r="M33" i="5"/>
  <c r="R33" i="5"/>
  <c r="J81" i="5"/>
  <c r="M81" i="5"/>
  <c r="P81" i="5"/>
  <c r="T93" i="5"/>
  <c r="L31" i="5"/>
  <c r="I28" i="5"/>
  <c r="J127" i="5"/>
  <c r="M127" i="5"/>
  <c r="R127" i="5"/>
  <c r="R93" i="5"/>
  <c r="I60" i="5"/>
  <c r="S147" i="5"/>
  <c r="Q147" i="5"/>
  <c r="U147" i="5"/>
  <c r="O147" i="5"/>
  <c r="I151" i="5"/>
  <c r="X150" i="5"/>
  <c r="Y150" i="5"/>
  <c r="I150" i="5"/>
  <c r="L150" i="5"/>
  <c r="W150" i="5"/>
  <c r="W149" i="5"/>
  <c r="AF147" i="5"/>
  <c r="X149" i="5"/>
  <c r="AG147" i="5"/>
  <c r="Y149" i="5"/>
  <c r="AH147" i="5"/>
  <c r="I149" i="5"/>
  <c r="T81" i="5"/>
  <c r="R81" i="5"/>
  <c r="L187" i="5"/>
  <c r="J196" i="5"/>
  <c r="M28" i="5"/>
  <c r="T28" i="5"/>
  <c r="T127" i="5"/>
  <c r="P127" i="5"/>
  <c r="J60" i="5"/>
  <c r="M60" i="5"/>
  <c r="R60" i="5"/>
  <c r="T116" i="5"/>
  <c r="R116" i="5"/>
  <c r="P33" i="5"/>
  <c r="T33" i="5"/>
  <c r="L149" i="5"/>
  <c r="I147" i="5"/>
  <c r="J151" i="5"/>
  <c r="T60" i="5"/>
  <c r="P60" i="5"/>
  <c r="R28" i="5"/>
  <c r="P28" i="5"/>
  <c r="X187" i="5"/>
  <c r="AG184" i="5"/>
  <c r="W187" i="5"/>
  <c r="AF184" i="5"/>
  <c r="Y187" i="5"/>
  <c r="AH184" i="5"/>
  <c r="M184" i="5"/>
  <c r="M151" i="5"/>
  <c r="J147" i="5"/>
  <c r="M147" i="5"/>
  <c r="P147" i="5"/>
  <c r="P184" i="5"/>
  <c r="T184" i="5"/>
  <c r="R184" i="5"/>
  <c r="T147" i="5"/>
  <c r="R147" i="5"/>
  <c r="R151" i="5"/>
  <c r="P151" i="5"/>
  <c r="T151" i="5"/>
  <c r="O12" i="5"/>
  <c r="Q12" i="5"/>
  <c r="U12" i="5"/>
  <c r="J12" i="1" l="1"/>
  <c r="I30" i="1" s="1"/>
  <c r="AI30" i="1" s="1"/>
  <c r="I17" i="4" s="1"/>
  <c r="I23" i="4" s="1"/>
  <c r="S12" i="6"/>
  <c r="U12" i="6"/>
  <c r="O12" i="6"/>
  <c r="Q12" i="6"/>
  <c r="I13" i="6"/>
  <c r="I12" i="6" s="1"/>
  <c r="J12" i="5"/>
  <c r="J12" i="6" l="1"/>
  <c r="J215" i="5"/>
  <c r="AI215" i="5" s="1"/>
  <c r="B17" i="4" s="1"/>
  <c r="M12" i="5"/>
  <c r="M12" i="6" l="1"/>
  <c r="P12" i="6" s="1"/>
  <c r="I40" i="6"/>
  <c r="T12" i="5"/>
  <c r="R12" i="5"/>
  <c r="P12" i="5"/>
  <c r="R12" i="6" l="1"/>
  <c r="T12" i="6"/>
  <c r="K40" i="6"/>
  <c r="B18" i="4" s="1"/>
  <c r="C23" i="4" s="1"/>
  <c r="C25" i="4" s="1"/>
  <c r="AI40" i="6"/>
  <c r="F26" i="4" l="1"/>
  <c r="C26" i="4" s="1"/>
  <c r="F27" i="4"/>
  <c r="I27" i="4" s="1"/>
  <c r="C27" i="4" l="1"/>
  <c r="I26" i="4"/>
</calcChain>
</file>

<file path=xl/sharedStrings.xml><?xml version="1.0" encoding="utf-8"?>
<sst xmlns="http://schemas.openxmlformats.org/spreadsheetml/2006/main" count="877" uniqueCount="504">
  <si>
    <t>Stavební rozpočet</t>
  </si>
  <si>
    <t>Název stavby:</t>
  </si>
  <si>
    <t>Druh stavby:</t>
  </si>
  <si>
    <t>Lokalita:</t>
  </si>
  <si>
    <t>JKSO:</t>
  </si>
  <si>
    <t xml:space="preserve"> </t>
  </si>
  <si>
    <t>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</si>
  <si>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</si>
  <si>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</si>
  <si>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</si>
  <si>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</si>
  <si>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</si>
  <si>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</si>
  <si>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</si>
  <si>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</si>
  <si>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</si>
  <si>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</si>
  <si>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</si>
  <si>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</si>
  <si>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</si>
  <si>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</si>
  <si>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</si>
  <si>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</si>
  <si>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</si>
  <si>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</si>
  <si>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</si>
  <si>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</si>
  <si>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</si>
  <si>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24</t>
  </si>
  <si>
    <t>25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</si>
  <si>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</si>
  <si>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</si>
  <si>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</si>
  <si>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</si>
  <si>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</si>
  <si>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</si>
  <si>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</si>
  <si>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</si>
  <si>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</si>
  <si>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</si>
  <si>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</si>
  <si>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</si>
  <si>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</si>
  <si>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</si>
  <si>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</si>
  <si>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</si>
  <si>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</si>
  <si>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</si>
  <si>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</si>
  <si>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</si>
  <si>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</si>
  <si>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</si>
  <si>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</si>
  <si>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53</t>
  </si>
  <si>
    <t>54</t>
  </si>
  <si>
    <t>55</t>
  </si>
  <si>
    <t>56</t>
  </si>
  <si>
    <t>57</t>
  </si>
  <si>
    <t>59</t>
  </si>
  <si>
    <t>60</t>
  </si>
  <si>
    <t>63</t>
  </si>
  <si>
    <t>64</t>
  </si>
  <si>
    <t>66</t>
  </si>
  <si>
    <t>67</t>
  </si>
  <si>
    <t>74</t>
  </si>
  <si>
    <t>75</t>
  </si>
  <si>
    <t>76</t>
  </si>
  <si>
    <t>Objekt</t>
  </si>
  <si>
    <t>SO1</t>
  </si>
  <si>
    <t>SO2</t>
  </si>
  <si>
    <t>SO4</t>
  </si>
  <si>
    <t>Kód</t>
  </si>
  <si>
    <t>100003100R00</t>
  </si>
  <si>
    <t>122101102R00</t>
  </si>
  <si>
    <t>122201109R00</t>
  </si>
  <si>
    <t>132200010RAA</t>
  </si>
  <si>
    <t>132201109R00</t>
  </si>
  <si>
    <t>131201101R00</t>
  </si>
  <si>
    <t>131201109R00</t>
  </si>
  <si>
    <t>162702199R00</t>
  </si>
  <si>
    <t>162701155R00</t>
  </si>
  <si>
    <t>162706119R00</t>
  </si>
  <si>
    <t>998222012R00</t>
  </si>
  <si>
    <t>564721111R00</t>
  </si>
  <si>
    <t>275313611R00</t>
  </si>
  <si>
    <t>767</t>
  </si>
  <si>
    <t>430241003R00</t>
  </si>
  <si>
    <t>767911140R00</t>
  </si>
  <si>
    <t>100004212R00</t>
  </si>
  <si>
    <t>181101102R00</t>
  </si>
  <si>
    <t>632921913R00</t>
  </si>
  <si>
    <t>631310002RAA</t>
  </si>
  <si>
    <t>31316659</t>
  </si>
  <si>
    <t>998223011R00</t>
  </si>
  <si>
    <t>564551111R00</t>
  </si>
  <si>
    <t>564112215R00</t>
  </si>
  <si>
    <t>564732111R00</t>
  </si>
  <si>
    <t>576142111R00</t>
  </si>
  <si>
    <t>576132111R00</t>
  </si>
  <si>
    <t>91</t>
  </si>
  <si>
    <t>916561111R00</t>
  </si>
  <si>
    <t>59217512</t>
  </si>
  <si>
    <t>58152371</t>
  </si>
  <si>
    <t>583309990001</t>
  </si>
  <si>
    <t>87</t>
  </si>
  <si>
    <t>998276201R00</t>
  </si>
  <si>
    <t>141189797VD</t>
  </si>
  <si>
    <t>141189798VD</t>
  </si>
  <si>
    <t>211561111R00</t>
  </si>
  <si>
    <t>871318111R00</t>
  </si>
  <si>
    <t>28611226.A</t>
  </si>
  <si>
    <t>28611223.A</t>
  </si>
  <si>
    <t>7101515VD</t>
  </si>
  <si>
    <t>5112VD</t>
  </si>
  <si>
    <t>Sportoviště</t>
  </si>
  <si>
    <t>Zkrácený popis / Varianta</t>
  </si>
  <si>
    <t>Zemní práce</t>
  </si>
  <si>
    <t>Naložení sypaniny</t>
  </si>
  <si>
    <t>Odkopávky a prokopávky</t>
  </si>
  <si>
    <t>Odkopávky nezapažené v hor. 3 do 1000 m3</t>
  </si>
  <si>
    <t>Příplatek za lepivost - odkopávky v hor. 3</t>
  </si>
  <si>
    <t>Hloubené vykopávky</t>
  </si>
  <si>
    <t>Příplatek za lepivost - hloubení rýh 60 cm v hor.3</t>
  </si>
  <si>
    <t>Hloubení nezapažených jam v hor.3 do 100 m3</t>
  </si>
  <si>
    <t>Příplatek za lepivost - hloubení nezap.jam v hor.3</t>
  </si>
  <si>
    <t>Přemístění výkopku</t>
  </si>
  <si>
    <t>Poplatek za skládku zeminy</t>
  </si>
  <si>
    <t>Příplatek za dalších 1000 m přemístění zemin</t>
  </si>
  <si>
    <t>Komunikace pozemní a letiště</t>
  </si>
  <si>
    <t>Přesun hmot, zpevněné plochy, kryt z kameniva</t>
  </si>
  <si>
    <t>Podkladní vrstvy komunikací a zpevněných ploch</t>
  </si>
  <si>
    <t>Základy</t>
  </si>
  <si>
    <t>Konstrukce doplňkové stavební (zámečnické)</t>
  </si>
  <si>
    <t>Montáž jeřáb. sloupů vnějších v. 5-6 m, do 200 kg/m</t>
  </si>
  <si>
    <t>plastové karabinky pro uchycení sítě - Nylonové kroužky, volně 4ks/m´</t>
  </si>
  <si>
    <t>Lanko poplastované 3mm a napínáky - uchycení sítí</t>
  </si>
  <si>
    <t>Ostatní materiál</t>
  </si>
  <si>
    <t>Hutnění sypaniny vrstvy tl. do 60 cm, 1 pojezd</t>
  </si>
  <si>
    <t>Povrchové úpravy terénu</t>
  </si>
  <si>
    <t>Přesun hmot, pozemní komunikace, kryt dlážděný</t>
  </si>
  <si>
    <t>Kryty štěrkových a živičných pozemních komunikací a zpevněných ploch</t>
  </si>
  <si>
    <t>Doplňující konstrukce a práce na pozemních komunikacích a zpevněných plochách</t>
  </si>
  <si>
    <t>Osazení záhon.obrubníků do lože z B 12,5 s opěrou</t>
  </si>
  <si>
    <t>Písek praný pro sportovní účely</t>
  </si>
  <si>
    <t>Basketbalová konstrukce - vyložení 2250 mm, sklolaminátová deska 180 x 105 mm, povrch odolný proti počasí a poškrábání</t>
  </si>
  <si>
    <t>Bezuzlová volejbalová síť "Smash", PP, 4 mm, na obou stranách s vodicí kladkou</t>
  </si>
  <si>
    <t>Potrubí z trub plastických, skleněných a čedičových</t>
  </si>
  <si>
    <t>Přesun hmot, trub.vedení plast. obsypaná kamenivem</t>
  </si>
  <si>
    <t>Výplň odvodňovacích žeber kam. hrubě drcen. 8/16 mm</t>
  </si>
  <si>
    <t>Kladení drenážního potrubí z plastických hmot</t>
  </si>
  <si>
    <t>Doba výstavby:</t>
  </si>
  <si>
    <t>Začátek výstavby:</t>
  </si>
  <si>
    <t>Konec výstavby:</t>
  </si>
  <si>
    <t>Zpracováno dne:</t>
  </si>
  <si>
    <t>M.j.</t>
  </si>
  <si>
    <t>m3</t>
  </si>
  <si>
    <t>m2</t>
  </si>
  <si>
    <t>t</t>
  </si>
  <si>
    <t>100 kg</t>
  </si>
  <si>
    <t>ks</t>
  </si>
  <si>
    <t>m</t>
  </si>
  <si>
    <t>kus</t>
  </si>
  <si>
    <t>T</t>
  </si>
  <si>
    <t>pár</t>
  </si>
  <si>
    <t>komplt.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</si>
  <si>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</si>
  <si>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</si>
  <si>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</si>
  <si>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</si>
  <si>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</si>
  <si>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</si>
  <si>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</si>
  <si>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</si>
  <si>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</si>
  <si>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</si>
  <si>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</si>
  <si>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</si>
  <si>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0</t>
  </si>
  <si>
    <t>Přesuny</t>
  </si>
  <si>
    <t>Typ skupiny</t>
  </si>
  <si>
    <t>HS</t>
  </si>
  <si>
    <t>PR</t>
  </si>
  <si>
    <t>PS</t>
  </si>
  <si>
    <t>OM</t>
  </si>
  <si>
    <t>HSV mat</t>
  </si>
  <si>
    <t>HSV prac</t>
  </si>
  <si>
    <t>PSV mat</t>
  </si>
  <si>
    <t>PSV prac</t>
  </si>
  <si>
    <t>Mont mat</t>
  </si>
  <si>
    <t>Mont prac</t>
  </si>
  <si>
    <t>Ostatní mat.</t>
  </si>
  <si>
    <t>Krycí list rozpočtu</t>
  </si>
  <si>
    <t>Rozpočtové náklady v Kč</t>
  </si>
  <si>
    <t>A</t>
  </si>
  <si>
    <t>Přesun hmot a sutí</t>
  </si>
  <si>
    <t>ZRN celkem</t>
  </si>
  <si>
    <t>Základ 0%</t>
  </si>
  <si>
    <t>Projektant</t>
  </si>
  <si>
    <t>Datum, razítko a podpis</t>
  </si>
  <si>
    <t>Základní rozpočtové náklady</t>
  </si>
  <si>
    <t>B</t>
  </si>
  <si>
    <t>Práce přesčas</t>
  </si>
  <si>
    <t>Bez pevné podl.</t>
  </si>
  <si>
    <t>Kulturní památka</t>
  </si>
  <si>
    <t>DN celkem</t>
  </si>
  <si>
    <t>DPH 15%</t>
  </si>
  <si>
    <t>DPH 21%</t>
  </si>
  <si>
    <t>Objednatel</t>
  </si>
  <si>
    <t>Doplňkové náklady</t>
  </si>
  <si>
    <t>C</t>
  </si>
  <si>
    <t>Zařízení staveniště</t>
  </si>
  <si>
    <t>NUS celkem</t>
  </si>
  <si>
    <t>Zhotovitel</t>
  </si>
  <si>
    <t>IČ/DIČ:</t>
  </si>
  <si>
    <t>Položek:</t>
  </si>
  <si>
    <t>Datum:</t>
  </si>
  <si>
    <t>Hloubení nezapaž. rýh šířky do 60 cm v hornině 1-4 -  drenážní potrubí</t>
  </si>
  <si>
    <t>Umělé sportovní povrchy</t>
  </si>
  <si>
    <t>V1</t>
  </si>
  <si>
    <t>V3</t>
  </si>
  <si>
    <t>V4</t>
  </si>
  <si>
    <t>V5</t>
  </si>
  <si>
    <t>V8</t>
  </si>
  <si>
    <t>V9</t>
  </si>
  <si>
    <t>V10</t>
  </si>
  <si>
    <t>V12</t>
  </si>
  <si>
    <t>V13</t>
  </si>
  <si>
    <t>V14</t>
  </si>
  <si>
    <t xml:space="preserve">Multifunkční sloupky hranaté, volejbal, tenis včetně zemních pouzder s víčkem </t>
  </si>
  <si>
    <t>V16</t>
  </si>
  <si>
    <t>V17</t>
  </si>
  <si>
    <t>V18</t>
  </si>
  <si>
    <t>V20</t>
  </si>
  <si>
    <t>78</t>
  </si>
  <si>
    <t>79</t>
  </si>
  <si>
    <t>Pozn1:</t>
  </si>
  <si>
    <t>Soupis prací je sestaven za využití položek Cenové soustavy RTS. Cenové a technické podmínky položek Cenové soustavy RTS, které jsou uvedeny v soupisu prací ( tzn. úvodní části katalogů ) jsou neomezeně dálkově k dispozici www.cenovasoustava.cz. Položky soupisu prací, které nemají ve sloupci "Cenová soustava" uveden žádný údaj, nepochází z Cenové soustavy RTS.</t>
  </si>
  <si>
    <t>Pozn2:</t>
  </si>
  <si>
    <t>Rozpočet musí být zhotovitelem naceněn tak, aby za nejvýše přípustnou částku tj. celkové náklady stavby byla stavba realizována dle dokumentace pro provedení stavby - DPS bez dalšího navyšování nákladů stavby.</t>
  </si>
  <si>
    <t>Montáž oplocení ze sítí PP H do 4,0-8,0 m</t>
  </si>
  <si>
    <t>Stavební objekty</t>
  </si>
  <si>
    <t>Stavební objekty.</t>
  </si>
  <si>
    <t>Vedlejší náklady stavby</t>
  </si>
  <si>
    <t>VRN</t>
  </si>
  <si>
    <t>043002000</t>
  </si>
  <si>
    <t>Zkoušky a ostatní měření</t>
  </si>
  <si>
    <t xml:space="preserve">veškeré průkazní a kontrolní zkoušky dle příslušných kapitol TKP (včetně vypracování KZP a technologických postupů prací). </t>
  </si>
  <si>
    <t>012303000</t>
  </si>
  <si>
    <t>Geodetické práce po výstavbě</t>
  </si>
  <si>
    <t xml:space="preserve">zaměření skutečného provedení v rozsahu nezbytném pro zápis změny do katastru nemovitostí (podklad pro geom. plán). </t>
  </si>
  <si>
    <t>013254000</t>
  </si>
  <si>
    <t>Dokumentace skutečného provedení stavby</t>
  </si>
  <si>
    <t xml:space="preserve">vyhotovení a její předání objednateli v požadované formě a požadovaném počtu včetně závěrečné zprávy. </t>
  </si>
  <si>
    <t>034002000</t>
  </si>
  <si>
    <t>Zabezpečení staveniště</t>
  </si>
  <si>
    <t xml:space="preserve"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</t>
  </si>
  <si>
    <t>079002000</t>
  </si>
  <si>
    <t>Ostatní provozní vlivy</t>
  </si>
  <si>
    <t xml:space="preserve">přesun nádob na odpad po dobu stavby. </t>
  </si>
  <si>
    <t>013244000</t>
  </si>
  <si>
    <t>011503000</t>
  </si>
  <si>
    <t>Stavební průzkum bez rozlišení</t>
  </si>
  <si>
    <t>vytýčení inženýrských sítí</t>
  </si>
  <si>
    <t>012103000</t>
  </si>
  <si>
    <t>Geodetické práce před výstavbou</t>
  </si>
  <si>
    <t>zaměření stavby před výstavbou, vytýčení stavby, zaměření skutečného stavu staveniště, vytyčení obvodu staveniště.</t>
  </si>
  <si>
    <t>030001000</t>
  </si>
  <si>
    <t xml:space="preserve">vybudování zařízení staveniště, provoz zařízení staveniště, odstranění zařízení staveniště. </t>
  </si>
  <si>
    <t>Vedlejší rozpočtové náklady</t>
  </si>
  <si>
    <t xml:space="preserve">Lavička L=1500 mm, dřevěný sedák, betonová konstrukce
</t>
  </si>
  <si>
    <t>112101102</t>
  </si>
  <si>
    <t xml:space="preserve">Kácení stromů listnatých D kmene do 500 mm   </t>
  </si>
  <si>
    <t>112201102</t>
  </si>
  <si>
    <t xml:space="preserve">Odstranění pařezů D do 500 mm   </t>
  </si>
  <si>
    <t>121101101</t>
  </si>
  <si>
    <t xml:space="preserve">Sejmutí ornice s přemístěním na vzdálenost do 50 m   </t>
  </si>
  <si>
    <t>162201466</t>
  </si>
  <si>
    <t xml:space="preserve">Vodorovné přemístění kmenů stromů listnatých do 3 km D kmene do 500 mm   </t>
  </si>
  <si>
    <t>162201475</t>
  </si>
  <si>
    <t xml:space="preserve">Vodorovné přemístění pařezů do 3 km D do 300 mm   </t>
  </si>
  <si>
    <t>162201102</t>
  </si>
  <si>
    <t xml:space="preserve">Vodorovné přemístění do 50 m výkopku/sypaniny z horniny tř. 1 až 4   </t>
  </si>
  <si>
    <t>Úprava pláně v zářezech v hor. 1-4, rovnání graderem s nivelační radlicí</t>
  </si>
  <si>
    <t>Podklad z kameniva drceného vel.0-4 mm,tl. 2 cm</t>
  </si>
  <si>
    <t>Podklad z kameniva drceného fr. 8-16 po zhutnění tl.5 cm</t>
  </si>
  <si>
    <t>Podklad z kameniva drceného fr.16-32 po zhutn.tl.10 cm</t>
  </si>
  <si>
    <t>564112216R00</t>
  </si>
  <si>
    <t>Podklad z kameniva drceného fr.32-63 po zhutn.tl.15 cm</t>
  </si>
  <si>
    <t>Bezuzlová ochranná síť, PP, 2,8 mm, oko 40x40 mm zelená</t>
  </si>
  <si>
    <t xml:space="preserve">Fotbalová branka pro kopanou 5,0x2,0m včetně sítě,zemní pouzdra </t>
  </si>
  <si>
    <t>Branka vstupní ocelová, žárově zinkovaná 0,9 * 2,1 m D+M</t>
  </si>
  <si>
    <t>Obrubník betonový s gumovou hranou 1000x300x60 bílý - doskočiště</t>
  </si>
  <si>
    <t>Trubka PP drenážní částečně perforovaná d 200 mm</t>
  </si>
  <si>
    <t>Trubka PP drenážní částečně perforovaná d 100 mm</t>
  </si>
  <si>
    <t>693111420</t>
  </si>
  <si>
    <t>textilie GEOFILTEX 63 63/20 200 g/m2 do š 8,8 m  včetně pokládky</t>
  </si>
  <si>
    <t>Zřízení podsypu/podkladu ze sypaniny tl. 10 - 15 cm,  rozhrutí, rovnání</t>
  </si>
  <si>
    <t>Dílenská dokumentace</t>
  </si>
  <si>
    <t>Vodorovné přemístění výkopku z hor.1-4 do 10000 m</t>
  </si>
  <si>
    <t>80</t>
  </si>
  <si>
    <t>81</t>
  </si>
  <si>
    <t>82</t>
  </si>
  <si>
    <t>83</t>
  </si>
  <si>
    <t>V23</t>
  </si>
  <si>
    <t>V24</t>
  </si>
  <si>
    <t>V25</t>
  </si>
  <si>
    <t>V26</t>
  </si>
  <si>
    <t xml:space="preserve">Přesazení stromů listnatých   </t>
  </si>
  <si>
    <t>Ochrana stávajících stromů listnatých</t>
  </si>
  <si>
    <t>115*0,6*0,6*1,0 oplocení h=5m (multifunkční hřiště)</t>
  </si>
  <si>
    <t>13*0,6*0,6*1,0 oplocení h=4m</t>
  </si>
  <si>
    <t>34*0,6*0,6*0,8 sportovní vybavení posilovny</t>
  </si>
  <si>
    <t>3*0,4*0,4*0,8 odpatkové koše</t>
  </si>
  <si>
    <t>8*0,5*0,5*0,9 multifunkční sloupky</t>
  </si>
  <si>
    <t>4*0,5*0,5*0,9 uložení fotbalových branek</t>
  </si>
  <si>
    <t>Beton základových pasů prostý C 16/20 (B 20), včetně podsypu a bednění</t>
  </si>
  <si>
    <t xml:space="preserve"> základový pas prvku P6</t>
  </si>
  <si>
    <t>142*1,1</t>
  </si>
  <si>
    <t>55342428</t>
  </si>
  <si>
    <t>Sloupy pro oplocení S.2 H=5,0m JAKL 100x60x5, úprava na uchycení PP sítí, povrch. úp. žárovým zinkováním</t>
  </si>
  <si>
    <t>225</t>
  </si>
  <si>
    <t>Montáž oplocení z dílců, na sloupky</t>
  </si>
  <si>
    <t>762137121R00</t>
  </si>
  <si>
    <t>60+60</t>
  </si>
  <si>
    <t>plotový dílec svařované pletivo 1630x2506 oko 20x200 Ø5, ZN, včetně uchycovacích prostředků na JAKL sloupky</t>
  </si>
  <si>
    <t>plotový dílec svařované pletivo 2230x2506 oko 20x200 Ø5, ZN, včetně uchycovacích prostředků na JAKL sloupky</t>
  </si>
  <si>
    <t>Brána vjezdová ocelová, žárově zinkovaná 2,5 * 2,1 m D+M</t>
  </si>
  <si>
    <t>Dřevěné hrazení z fošen tl.45mm hoblovaných h=200mm, povrch úprava mořením H=1,1m D+M</t>
  </si>
  <si>
    <t>77+6,84+7,5</t>
  </si>
  <si>
    <t>15,036+15,036+26,035</t>
  </si>
  <si>
    <t>Obrubník betonový přírodní 500200x50, rovná horní hrana cm</t>
  </si>
  <si>
    <t>(919/0,5) *1,10</t>
  </si>
  <si>
    <t>919 + 20</t>
  </si>
  <si>
    <t>Odrazové prkno dvoudílné L=1220mm - skok daleký, včetně osazení</t>
  </si>
  <si>
    <t>Odpadkové koše na smíšený a plastový odpad D+M</t>
  </si>
  <si>
    <t>Napojení bezpečnostního přepadu na stávající dešťovou šachtu, zemní práce</t>
  </si>
  <si>
    <t>drenáž DN 200 80*0,6*0,6</t>
  </si>
  <si>
    <t>drenáž DN 100 856*0,3*0,6</t>
  </si>
  <si>
    <t>vsakovací objekt</t>
  </si>
  <si>
    <t>Trubka PP drenážní plně perforovaná d 100 mm</t>
  </si>
  <si>
    <t>342*0,3</t>
  </si>
  <si>
    <t>Dopadová plocha - dřevoštěpky tl. 0,3m</t>
  </si>
  <si>
    <t>Sloupy pro oplocení z 2D sítě S.1, H=6,0m JACKL 100x60x5, úprava na uchycení mantinelů povrch. úp. žárovým zinkováním</t>
  </si>
  <si>
    <t>Sloupy pro oplocení z 2D sítě S.3, H=6,0m JACKL 200x100x5, úprava na uchycení mantinelů, basketbalových košů, povrch. úp. žárovým zinkováním</t>
  </si>
  <si>
    <t>Podklad z kameniva drceného fr.16-32 po zhutn.tl.15 cm</t>
  </si>
  <si>
    <t>4*1,0*1,0*1,0 oplocení h=5m</t>
  </si>
  <si>
    <t>360,5*1,10</t>
  </si>
  <si>
    <t>360,5</t>
  </si>
  <si>
    <t>Atletická dráha (1061)</t>
  </si>
  <si>
    <t>Rozběhová dráha (48,8)</t>
  </si>
  <si>
    <t>Multifunkční hřiště (1211)</t>
  </si>
  <si>
    <t>Volejbalové hřiště (390)</t>
  </si>
  <si>
    <t>1211+390+1061+48,8</t>
  </si>
  <si>
    <t>3*0,4*0,4*0,8 odpadkové koše</t>
  </si>
  <si>
    <t>180402111R00</t>
  </si>
  <si>
    <t xml:space="preserve">Hloubení nezapažených jam v hor.3 </t>
  </si>
  <si>
    <t>vyhloubení výkopu pro tribunu 86,14 m3</t>
  </si>
  <si>
    <t>Zřízení jednostranného bednění zdí nosných</t>
  </si>
  <si>
    <t>Odstranění jednostranného bednění zdí nosných</t>
  </si>
  <si>
    <t>311351101</t>
  </si>
  <si>
    <t>411351101</t>
  </si>
  <si>
    <t>podsyp z fr. 16-32 - 55,39+0,785</t>
  </si>
  <si>
    <t>bednění kruhového sedátka - 2,4 m2</t>
  </si>
  <si>
    <t>bednění tribuny - 131 m2</t>
  </si>
  <si>
    <t>bednění kruhové lavičky - 12,07 m2</t>
  </si>
  <si>
    <t>betonáž tribuny - 46,5 m3</t>
  </si>
  <si>
    <t>betonáž kruhové lavičky - 6,4 m3</t>
  </si>
  <si>
    <t>betonáž kruhového sedátka - 0,628 m3</t>
  </si>
  <si>
    <t>311321411</t>
  </si>
  <si>
    <t>Železobetonová konstrukce tribuny, beton C 25/30, pruty výztuže průměru 8mm</t>
  </si>
  <si>
    <t>fr. 0-63 - 27 m3</t>
  </si>
  <si>
    <t xml:space="preserve">bednění tribuny - 131 m2 </t>
  </si>
  <si>
    <t xml:space="preserve"> 27,6 m2</t>
  </si>
  <si>
    <t>Zřízení ztraceného bednění uvnitř tribuny z fošen tl. 20mm D+M</t>
  </si>
  <si>
    <t>podsyp z fr. 0-63</t>
  </si>
  <si>
    <t>Půlkruhový  jacklový stůl s vrchní deskou z dubových fošen (masiv) D+M, viz výkres D.1.24</t>
  </si>
  <si>
    <t>Odkopávky</t>
  </si>
  <si>
    <t>Hloubení nezapažených jam</t>
  </si>
  <si>
    <t>Hloubení nezapažených rýh</t>
  </si>
  <si>
    <t>Mazanina betonová z betonu C 16/20, tl. 25,7 cm  - doskočiště D+M</t>
  </si>
  <si>
    <t xml:space="preserve">8,8 * 0,257 m2 </t>
  </si>
  <si>
    <t>Síť svařovaná Kari 6x150x150 3 x 2 m rohož  - doskočiště</t>
  </si>
  <si>
    <t>Dlažba z dlaždic betonových  300x300 mm do ŠP, tl. 50 mm (10% prožez)</t>
  </si>
  <si>
    <t>Přesun hmot, pozemní komunikace, kryt živičný</t>
  </si>
  <si>
    <t>998225111R00</t>
  </si>
  <si>
    <t>113107242R00</t>
  </si>
  <si>
    <t>Odstranění podkladu nad 200 m2, živičného tl.10 cm</t>
  </si>
  <si>
    <t>Založení trávníku parkového výsevem v rovině, včetně kořenové vrstvy tl 15cm (80% ornice + 15% písek, rašelina 5%), osivo 25 g/m2</t>
  </si>
  <si>
    <t>4097*0,5</t>
  </si>
  <si>
    <t>4097</t>
  </si>
  <si>
    <t>P1</t>
  </si>
  <si>
    <t>P2</t>
  </si>
  <si>
    <t>P5</t>
  </si>
  <si>
    <t>P3</t>
  </si>
  <si>
    <t>P4</t>
  </si>
  <si>
    <t>P6</t>
  </si>
  <si>
    <t>P7</t>
  </si>
  <si>
    <t>Triangl na kliky D+M</t>
  </si>
  <si>
    <t>Ručkovací sestava D+M</t>
  </si>
  <si>
    <t>Leh - sedy D+M</t>
  </si>
  <si>
    <t>Sestava hrazd D+M</t>
  </si>
  <si>
    <t>Balanční kladina D+M</t>
  </si>
  <si>
    <t>Posilovací sestava D+M</t>
  </si>
  <si>
    <t>Hrazdy D+M</t>
  </si>
  <si>
    <t>Kladení kabelu CYKY do pískového lože</t>
  </si>
  <si>
    <t>Venkovní zásuvková rozvodní skříň (4x venkovní zásuvka), v uzamykatelné skříňce</t>
  </si>
  <si>
    <t>Česká Třebová parc.č. 566/1, 566/18, 566/14, 1424</t>
  </si>
  <si>
    <t xml:space="preserve"> Město Česká Třebová</t>
  </si>
  <si>
    <t>MOTION construction s.r.o.</t>
  </si>
  <si>
    <t>06163076</t>
  </si>
  <si>
    <t>00278653</t>
  </si>
  <si>
    <t>Město Česká Třebová</t>
  </si>
  <si>
    <t>19</t>
  </si>
  <si>
    <t>23</t>
  </si>
  <si>
    <t>26</t>
  </si>
  <si>
    <t>32</t>
  </si>
  <si>
    <t>39</t>
  </si>
  <si>
    <t>52</t>
  </si>
  <si>
    <t>62</t>
  </si>
  <si>
    <t>65</t>
  </si>
  <si>
    <t>68</t>
  </si>
  <si>
    <t>69</t>
  </si>
  <si>
    <t>70</t>
  </si>
  <si>
    <t>71</t>
  </si>
  <si>
    <t>72</t>
  </si>
  <si>
    <t>73</t>
  </si>
  <si>
    <t>77</t>
  </si>
  <si>
    <t>84</t>
  </si>
  <si>
    <t>85</t>
  </si>
  <si>
    <t>86</t>
  </si>
  <si>
    <t>88</t>
  </si>
  <si>
    <t>89</t>
  </si>
  <si>
    <t>90</t>
  </si>
  <si>
    <t>92</t>
  </si>
  <si>
    <t>93</t>
  </si>
  <si>
    <t>94</t>
  </si>
  <si>
    <t>95</t>
  </si>
  <si>
    <t>96</t>
  </si>
  <si>
    <t>97</t>
  </si>
  <si>
    <t>1055*0,1</t>
  </si>
  <si>
    <t>3131*0,45</t>
  </si>
  <si>
    <t>1409+139+155</t>
  </si>
  <si>
    <t>(1409+139+155)*10</t>
  </si>
  <si>
    <t>zatravnění okolních ploch - 476+36,91+77,81+ 300</t>
  </si>
  <si>
    <t>Poplatek za skládku suti</t>
  </si>
  <si>
    <t>Podklad z kameniva drceného vel.4-8 mm,tl. 4 cm</t>
  </si>
  <si>
    <t>Atletický ovál (1061)</t>
  </si>
  <si>
    <t>Dlažba (360,5)</t>
  </si>
  <si>
    <t>Workout zóna (342)</t>
  </si>
  <si>
    <t>Multifunkční hřiště (1210)</t>
  </si>
  <si>
    <t>Volejbal (390)</t>
  </si>
  <si>
    <t>Doskočiště (20,3)</t>
  </si>
  <si>
    <t>Beton základových patek prostý C 16/20 (B 20), včetně podsypu, bednění a chrániček PVC KG DN 150-250</t>
  </si>
  <si>
    <t>Lapač písku 1000x500x173, kryt včetně osazení D+M, gumová rohož</t>
  </si>
  <si>
    <t>Lapač písku 500x500x173, kryt včetně osazení  D+M, gumová rohož</t>
  </si>
  <si>
    <t>Elektroinstalace</t>
  </si>
  <si>
    <t>SO1.1</t>
  </si>
  <si>
    <t>Objekt tribuny</t>
  </si>
  <si>
    <t>184401132</t>
  </si>
  <si>
    <t>Naložení suti</t>
  </si>
  <si>
    <t>979095312R00</t>
  </si>
  <si>
    <t>979990112R00</t>
  </si>
  <si>
    <t>Vodorovné přemístění suti do 6000 m</t>
  </si>
  <si>
    <t>979083117R00</t>
  </si>
  <si>
    <t>979091221R00</t>
  </si>
  <si>
    <t>274315222R00</t>
  </si>
  <si>
    <t>Kladení zámkové dlažby tl. 5 cm do drtě tl. 4 cm</t>
  </si>
  <si>
    <t>596215021R00</t>
  </si>
  <si>
    <t>220281007R00</t>
  </si>
  <si>
    <t>Kabel CYKY 2,5x4</t>
  </si>
  <si>
    <t>210800130</t>
  </si>
  <si>
    <t>V2</t>
  </si>
  <si>
    <t>V6</t>
  </si>
  <si>
    <t>V7</t>
  </si>
  <si>
    <t>V11</t>
  </si>
  <si>
    <t>V15</t>
  </si>
  <si>
    <t>V19</t>
  </si>
  <si>
    <t>V21</t>
  </si>
  <si>
    <t>Živičný materiál 966</t>
  </si>
  <si>
    <t>460201023R00</t>
  </si>
  <si>
    <t>Výkop kabelové rýhy 100x60 hornina 3, strojní</t>
  </si>
  <si>
    <t>Živičný materiál - (966*0,1)*2</t>
  </si>
  <si>
    <t>174100050RAC</t>
  </si>
  <si>
    <t>Zásyp jam a rýh štěrkopískem</t>
  </si>
  <si>
    <t>Příplatek za dalších 1000 m přemístění suti</t>
  </si>
  <si>
    <t>Živičný materiál - ((966*0,1)*2)10</t>
  </si>
  <si>
    <t>117</t>
  </si>
  <si>
    <t>SO1, SO1.1</t>
  </si>
  <si>
    <t>Revizní šachta systému odvodnění PVC o400, poklop plastový tř. zat. B, uzamykatelný</t>
  </si>
  <si>
    <t>SO1 Sportoviště</t>
  </si>
  <si>
    <t>SO1.1 Tribuna</t>
  </si>
  <si>
    <t>V22</t>
  </si>
  <si>
    <t>360351221R00</t>
  </si>
  <si>
    <t>Zřízení vyplnění tribuny kamenivem fr. 0-63 D+M</t>
  </si>
  <si>
    <t>REKONSTRUKCE SPORTOVIŠTĚ, ČESKÁ TŘEBOVÁ</t>
  </si>
  <si>
    <t>Pružná  podložka směs plně probarveného EPDM granulátu fr. 1-4 mm a pojiva tl. 13 mm</t>
  </si>
  <si>
    <t>Povrch atletické dráhy z umělého povrchu EPDM SP 2-3 mm, podkladní vrstva z černého SBR granulátu a polyuretanového pojiva, celková tl. 13 mm</t>
  </si>
  <si>
    <t>Asfaltový koberec otevřený ACO 8 (ACOJ) s rozprostřením a se zhutněním z modifikovaného asfaltu v pruhu šířky do 3 m, po zhutnění tl. 40 mm</t>
  </si>
  <si>
    <t>Asfaltový koberec otevřený ACO 16 (ACOH) s rozprostřením a se zhutněním z modifikovaného asfaltu v pruhu šířky do 3 m, po zhutnění tl. 50 mm</t>
  </si>
  <si>
    <t>Celkem bez DPH (21%)</t>
  </si>
  <si>
    <t>Celkem včetně DPH (21%)</t>
  </si>
  <si>
    <t>Základ +15%</t>
  </si>
  <si>
    <t>Základ +21%</t>
  </si>
  <si>
    <t xml:space="preserve">Značení čar atletické dráhy, multifunkčního a volejbalového hřiště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</si>
</sst>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0;\-#,##0.000"/>
  </numFmts>
  <fonts count="33" x14ac:knownFonts="1">
    <font>
      <sz val="10"/>
      <name val="Arial"/>
    </font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sz val="2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6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6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name val="Arial"/>
      <family val="2"/>
      <charset val="238"/>
    </font>
    <font>
      <i/>
      <sz val="7"/>
      <color indexed="55"/>
      <name val="Trebuchet MS"/>
      <family val="2"/>
      <charset val="238"/>
    </font>
    <font>
      <sz val="8"/>
      <name val="Arial"/>
      <family val="2"/>
      <charset val="238"/>
    </font>
    <font>
      <sz val="8"/>
      <name val="Trebuchet MS"/>
      <family val="2"/>
      <charset val="238"/>
    </font>
    <font>
      <sz val="8"/>
      <name val="MS Sans Serif"/>
      <charset val="1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3" tint="0.3999755851924192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">
    <xf numFmtId="0" fontId="0" fillId="0" borderId="0"/>
    <xf numFmtId="0" fontId="26" fillId="0" borderId="0"/>
    <xf numFmtId="0" fontId="20" fillId="0" borderId="0"/>
    <xf numFmtId="0" fontId="24" fillId="0" borderId="0" applyAlignment="0">
      <alignment vertical="top" wrapText="1"/>
      <protection locked="0"/>
    </xf>
    <xf numFmtId="0" fontId="25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13" fillId="0" borderId="0"/>
    <xf numFmtId="0" fontId="23" fillId="0" borderId="0" applyAlignment="0">
      <alignment vertical="top" wrapText="1"/>
      <protection locked="0"/>
    </xf>
    <xf numFmtId="0" fontId="28" fillId="0" borderId="0"/>
    <xf numFmtId="0" fontId="24" fillId="0" borderId="0" applyAlignment="0">
      <alignment vertical="top"/>
      <protection locked="0"/>
    </xf>
    <xf numFmtId="0" fontId="25" fillId="0" borderId="0" applyAlignment="0">
      <alignment vertical="top" wrapText="1"/>
      <protection locked="0"/>
    </xf>
    <xf numFmtId="0" fontId="28" fillId="0" borderId="0"/>
    <xf numFmtId="0" fontId="28" fillId="3" borderId="44" applyNumberFormat="0" applyFont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90"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2" fillId="0" borderId="3" xfId="0" applyFont="1" applyBorder="1" applyAlignment="1">
      <alignment vertical="center"/>
    </xf>
    <xf numFmtId="49" fontId="2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0" fontId="2" fillId="0" borderId="13" xfId="0" applyFont="1" applyBorder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5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center" wrapText="1"/>
    </xf>
    <xf numFmtId="49" fontId="15" fillId="0" borderId="4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49" fontId="18" fillId="0" borderId="5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49" fontId="29" fillId="0" borderId="0" xfId="0" applyNumberFormat="1" applyFont="1" applyAlignment="1">
      <alignment horizontal="left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49" fontId="11" fillId="0" borderId="14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10" fillId="2" borderId="17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49" fontId="16" fillId="0" borderId="5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21" xfId="0" applyFont="1" applyBorder="1" applyAlignment="1">
      <alignment vertical="top" wrapText="1"/>
    </xf>
    <xf numFmtId="0" fontId="0" fillId="0" borderId="22" xfId="0" applyBorder="1" applyAlignment="1">
      <alignment vertical="center" wrapText="1"/>
    </xf>
    <xf numFmtId="0" fontId="21" fillId="0" borderId="23" xfId="0" applyFont="1" applyBorder="1" applyAlignment="1">
      <alignment vertical="top" wrapText="1"/>
    </xf>
    <xf numFmtId="165" fontId="0" fillId="0" borderId="24" xfId="0" applyNumberFormat="1" applyBorder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0" fillId="0" borderId="25" xfId="0" applyBorder="1" applyAlignment="1">
      <alignment vertical="center" wrapText="1"/>
    </xf>
    <xf numFmtId="165" fontId="0" fillId="0" borderId="26" xfId="0" applyNumberFormat="1" applyBorder="1" applyAlignment="1">
      <alignment horizontal="right" vertical="center"/>
    </xf>
    <xf numFmtId="39" fontId="0" fillId="4" borderId="25" xfId="0" applyNumberFormat="1" applyFill="1" applyBorder="1" applyAlignment="1" applyProtection="1">
      <alignment vertical="center"/>
      <protection locked="0"/>
    </xf>
    <xf numFmtId="39" fontId="0" fillId="4" borderId="26" xfId="0" applyNumberFormat="1" applyFill="1" applyBorder="1" applyAlignment="1" applyProtection="1">
      <alignment vertical="center"/>
      <protection locked="0"/>
    </xf>
    <xf numFmtId="0" fontId="0" fillId="4" borderId="0" xfId="0" applyFill="1" applyAlignment="1">
      <alignment horizontal="left" vertical="center"/>
    </xf>
    <xf numFmtId="39" fontId="0" fillId="4" borderId="22" xfId="0" applyNumberFormat="1" applyFill="1" applyBorder="1" applyAlignment="1" applyProtection="1">
      <alignment vertical="center"/>
      <protection locked="0"/>
    </xf>
    <xf numFmtId="39" fontId="0" fillId="4" borderId="24" xfId="0" applyNumberFormat="1" applyFill="1" applyBorder="1" applyAlignment="1" applyProtection="1">
      <alignment vertical="center"/>
      <protection locked="0"/>
    </xf>
    <xf numFmtId="4" fontId="11" fillId="0" borderId="1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13" fillId="0" borderId="22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22" fillId="0" borderId="27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9" fontId="22" fillId="0" borderId="28" xfId="0" applyNumberFormat="1" applyFont="1" applyBorder="1" applyAlignment="1">
      <alignment horizontal="left" vertical="center" wrapText="1"/>
    </xf>
    <xf numFmtId="2" fontId="29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4" fontId="13" fillId="0" borderId="0" xfId="0" applyNumberFormat="1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1" fontId="29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right" vertical="center"/>
    </xf>
    <xf numFmtId="2" fontId="2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vertical="center"/>
    </xf>
    <xf numFmtId="2" fontId="4" fillId="0" borderId="3" xfId="14" applyNumberFormat="1" applyFont="1" applyFill="1" applyBorder="1" applyAlignment="1" applyProtection="1">
      <alignment vertical="center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left" vertical="center" wrapText="1"/>
    </xf>
    <xf numFmtId="49" fontId="10" fillId="2" borderId="29" xfId="0" applyNumberFormat="1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49" fontId="11" fillId="0" borderId="29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49" fontId="10" fillId="0" borderId="29" xfId="0" applyNumberFormat="1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49" fontId="12" fillId="0" borderId="29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49" fontId="11" fillId="0" borderId="31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49" fontId="11" fillId="0" borderId="33" xfId="0" applyNumberFormat="1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49" fontId="11" fillId="0" borderId="36" xfId="0" applyNumberFormat="1" applyFont="1" applyBorder="1" applyAlignment="1">
      <alignment vertical="center" wrapText="1"/>
    </xf>
    <xf numFmtId="49" fontId="11" fillId="0" borderId="37" xfId="0" applyNumberFormat="1" applyFont="1" applyBorder="1" applyAlignment="1">
      <alignment vertical="center" wrapText="1"/>
    </xf>
    <xf numFmtId="49" fontId="11" fillId="0" borderId="18" xfId="0" applyNumberFormat="1" applyFont="1" applyBorder="1" applyAlignment="1">
      <alignment vertical="center" wrapText="1"/>
    </xf>
    <xf numFmtId="49" fontId="11" fillId="0" borderId="38" xfId="0" applyNumberFormat="1" applyFont="1" applyBorder="1" applyAlignment="1">
      <alignment vertical="center" wrapText="1"/>
    </xf>
    <xf numFmtId="4" fontId="2" fillId="0" borderId="15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4" fontId="2" fillId="0" borderId="30" xfId="0" applyNumberFormat="1" applyFont="1" applyBorder="1" applyAlignment="1">
      <alignment horizontal="left" vertical="center" wrapText="1"/>
    </xf>
    <xf numFmtId="14" fontId="2" fillId="0" borderId="35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40" xfId="0" applyNumberFormat="1" applyFont="1" applyBorder="1" applyAlignment="1">
      <alignment horizontal="left" vertical="center" wrapText="1"/>
    </xf>
    <xf numFmtId="49" fontId="15" fillId="0" borderId="19" xfId="0" applyNumberFormat="1" applyFont="1" applyBorder="1" applyAlignment="1">
      <alignment horizontal="left" vertical="center" wrapText="1"/>
    </xf>
    <xf numFmtId="49" fontId="15" fillId="0" borderId="38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31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31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49" fontId="4" fillId="0" borderId="41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39" fontId="0" fillId="0" borderId="22" xfId="0" applyNumberFormat="1" applyBorder="1" applyAlignment="1">
      <alignment horizontal="right" vertical="center"/>
    </xf>
    <xf numFmtId="39" fontId="0" fillId="0" borderId="21" xfId="0" applyNumberFormat="1" applyBorder="1" applyAlignment="1">
      <alignment horizontal="right" vertical="center"/>
    </xf>
    <xf numFmtId="39" fontId="0" fillId="0" borderId="24" xfId="0" applyNumberFormat="1" applyBorder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2">
    <cellStyle name="Čárka" xfId="14" builtinId="3"/>
    <cellStyle name="Čárka 2" xfId="15" xr:uid="{00000000-0005-0000-0000-000001000000}"/>
    <cellStyle name="Excel Built-in Normal" xfId="1" xr:uid="{00000000-0005-0000-0000-000002000000}"/>
    <cellStyle name="Měna" xfId="14" builtinId="4"/>
    <cellStyle name="Měna 2" xfId="15" xr:uid="{00000000-0005-0000-0000-000004000000}"/>
    <cellStyle name="Měny bez des. míst" xfId="14" builtinId="7"/>
    <cellStyle name="Měny bez des. míst 2" xfId="15" xr:uid="{00000000-0005-0000-0000-000006000000}"/>
    <cellStyle name="Normální" xfId="0" builtinId="0"/>
    <cellStyle name="Normální 2" xfId="2" xr:uid="{00000000-0005-0000-0000-000008000000}"/>
    <cellStyle name="Normální 2 2" xfId="3" xr:uid="{00000000-0005-0000-0000-000009000000}"/>
    <cellStyle name="Normální 2 2 2" xfId="4" xr:uid="{00000000-0005-0000-0000-00000A000000}"/>
    <cellStyle name="Normální 2 3" xfId="5" xr:uid="{00000000-0005-0000-0000-00000B000000}"/>
    <cellStyle name="Normální 2 4" xfId="6" xr:uid="{00000000-0005-0000-0000-00000C000000}"/>
    <cellStyle name="Normální 2 5" xfId="7" xr:uid="{00000000-0005-0000-0000-00000D000000}"/>
    <cellStyle name="Normální 3" xfId="8" xr:uid="{00000000-0005-0000-0000-00000E000000}"/>
    <cellStyle name="Normální 3 2" xfId="9" xr:uid="{00000000-0005-0000-0000-00000F000000}"/>
    <cellStyle name="Normální 4" xfId="10" xr:uid="{00000000-0005-0000-0000-000010000000}"/>
    <cellStyle name="Normální 4 2" xfId="11" xr:uid="{00000000-0005-0000-0000-000011000000}"/>
    <cellStyle name="Normální 5" xfId="12" xr:uid="{00000000-0005-0000-0000-000012000000}"/>
    <cellStyle name="Poznámka 2" xfId="13" xr:uid="{00000000-0005-0000-0000-000013000000}"/>
    <cellStyle name="Procenta" xfId="14" builtinId="5"/>
    <cellStyle name="Procenta 2" xfId="15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00000"/>
      <rgbColor rgb="0000000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workbookViewId="0">
      <selection activeCell="B17" sqref="B17:C17"/>
    </sheetView>
  </sheetViews>
  <sheetFormatPr defaultColWidth="11.5703125" defaultRowHeight="12.75" x14ac:dyDescent="0.2"/>
  <cols>
    <col min="1" max="1" width="8.85546875" customWidth="1"/>
    <col min="2" max="2" width="9.42578125" customWidth="1"/>
    <col min="3" max="3" width="15.7109375" customWidth="1"/>
    <col min="4" max="4" width="6.28515625" customWidth="1"/>
    <col min="5" max="5" width="11.28515625" customWidth="1"/>
    <col min="6" max="6" width="14.140625" customWidth="1"/>
    <col min="7" max="7" width="6" customWidth="1"/>
    <col min="8" max="8" width="27.140625" customWidth="1"/>
    <col min="9" max="9" width="17.140625" customWidth="1"/>
    <col min="13" max="13" width="13.28515625" customWidth="1"/>
  </cols>
  <sheetData>
    <row r="1" spans="1:14" ht="24.2" customHeight="1" thickBot="1" x14ac:dyDescent="0.25">
      <c r="A1" s="151" t="s">
        <v>191</v>
      </c>
      <c r="B1" s="152"/>
      <c r="C1" s="152"/>
      <c r="D1" s="152"/>
      <c r="E1" s="152"/>
      <c r="F1" s="152"/>
      <c r="G1" s="152"/>
      <c r="H1" s="152"/>
      <c r="I1" s="152"/>
    </row>
    <row r="2" spans="1:14" x14ac:dyDescent="0.2">
      <c r="A2" s="153" t="s">
        <v>1</v>
      </c>
      <c r="B2" s="154"/>
      <c r="C2" s="156" t="s">
        <v>494</v>
      </c>
      <c r="D2" s="157"/>
      <c r="E2" s="138" t="s">
        <v>171</v>
      </c>
      <c r="F2" s="138" t="s">
        <v>407</v>
      </c>
      <c r="G2" s="154"/>
      <c r="H2" s="138" t="s">
        <v>213</v>
      </c>
      <c r="I2" s="159" t="s">
        <v>410</v>
      </c>
    </row>
    <row r="3" spans="1:14" x14ac:dyDescent="0.2">
      <c r="A3" s="155"/>
      <c r="B3" s="122"/>
      <c r="C3" s="158"/>
      <c r="D3" s="158"/>
      <c r="E3" s="122"/>
      <c r="F3" s="122"/>
      <c r="G3" s="122"/>
      <c r="H3" s="122"/>
      <c r="I3" s="140"/>
    </row>
    <row r="4" spans="1:14" x14ac:dyDescent="0.2">
      <c r="A4" s="124" t="s">
        <v>2</v>
      </c>
      <c r="B4" s="122"/>
      <c r="C4" s="121" t="s">
        <v>114</v>
      </c>
      <c r="D4" s="122"/>
      <c r="E4" s="121" t="s">
        <v>172</v>
      </c>
      <c r="F4" s="121" t="s">
        <v>408</v>
      </c>
      <c r="G4" s="122"/>
      <c r="H4" s="121" t="s">
        <v>213</v>
      </c>
      <c r="I4" s="139" t="s">
        <v>409</v>
      </c>
    </row>
    <row r="5" spans="1:14" ht="18.600000000000001" customHeight="1" x14ac:dyDescent="0.2">
      <c r="A5" s="155"/>
      <c r="B5" s="122"/>
      <c r="C5" s="122"/>
      <c r="D5" s="122"/>
      <c r="E5" s="122"/>
      <c r="F5" s="122"/>
      <c r="G5" s="122"/>
      <c r="H5" s="122"/>
      <c r="I5" s="140"/>
    </row>
    <row r="6" spans="1:14" x14ac:dyDescent="0.2">
      <c r="A6" s="124" t="s">
        <v>3</v>
      </c>
      <c r="B6" s="122"/>
      <c r="C6" s="121" t="s">
        <v>406</v>
      </c>
      <c r="D6" s="122"/>
      <c r="E6" s="121" t="s">
        <v>173</v>
      </c>
      <c r="F6" s="121"/>
      <c r="G6" s="122"/>
      <c r="H6" s="121" t="s">
        <v>213</v>
      </c>
      <c r="I6" s="139"/>
    </row>
    <row r="7" spans="1:14" ht="24.6" customHeight="1" x14ac:dyDescent="0.2">
      <c r="A7" s="155"/>
      <c r="B7" s="122"/>
      <c r="C7" s="122"/>
      <c r="D7" s="122"/>
      <c r="E7" s="122"/>
      <c r="F7" s="122"/>
      <c r="G7" s="122"/>
      <c r="H7" s="122"/>
      <c r="I7" s="140"/>
    </row>
    <row r="8" spans="1:14" x14ac:dyDescent="0.2">
      <c r="A8" s="124" t="s">
        <v>151</v>
      </c>
      <c r="B8" s="122"/>
      <c r="C8" s="121" t="s">
        <v>5</v>
      </c>
      <c r="D8" s="122"/>
      <c r="E8" s="121" t="s">
        <v>152</v>
      </c>
      <c r="F8" s="122"/>
      <c r="G8" s="122"/>
      <c r="H8" s="121" t="s">
        <v>214</v>
      </c>
      <c r="I8" s="139" t="s">
        <v>486</v>
      </c>
    </row>
    <row r="9" spans="1:14" x14ac:dyDescent="0.2">
      <c r="A9" s="155"/>
      <c r="B9" s="122"/>
      <c r="C9" s="122"/>
      <c r="D9" s="122"/>
      <c r="E9" s="122"/>
      <c r="F9" s="122"/>
      <c r="G9" s="122"/>
      <c r="H9" s="122"/>
      <c r="I9" s="140"/>
    </row>
    <row r="10" spans="1:14" x14ac:dyDescent="0.2">
      <c r="A10" s="124" t="s">
        <v>4</v>
      </c>
      <c r="B10" s="122"/>
      <c r="C10" s="121"/>
      <c r="D10" s="122"/>
      <c r="E10" s="121" t="s">
        <v>174</v>
      </c>
      <c r="F10" s="121"/>
      <c r="G10" s="122"/>
      <c r="H10" s="121" t="s">
        <v>215</v>
      </c>
      <c r="I10" s="141">
        <v>43256</v>
      </c>
    </row>
    <row r="11" spans="1:14" ht="13.5" thickBot="1" x14ac:dyDescent="0.25">
      <c r="A11" s="125"/>
      <c r="B11" s="123"/>
      <c r="C11" s="123"/>
      <c r="D11" s="123"/>
      <c r="E11" s="123"/>
      <c r="F11" s="123"/>
      <c r="G11" s="123"/>
      <c r="H11" s="123"/>
      <c r="I11" s="142"/>
    </row>
    <row r="12" spans="1:14" ht="24" customHeight="1" x14ac:dyDescent="0.2">
      <c r="A12" s="143" t="s">
        <v>235</v>
      </c>
      <c r="B12" s="144"/>
      <c r="C12" s="147" t="s">
        <v>236</v>
      </c>
      <c r="D12" s="147"/>
      <c r="E12" s="147"/>
      <c r="F12" s="147"/>
      <c r="G12" s="147"/>
      <c r="H12" s="147"/>
      <c r="I12" s="148"/>
    </row>
    <row r="13" spans="1:14" ht="24" customHeight="1" x14ac:dyDescent="0.2">
      <c r="A13" s="145"/>
      <c r="B13" s="146"/>
      <c r="C13" s="149"/>
      <c r="D13" s="149"/>
      <c r="E13" s="149"/>
      <c r="F13" s="149"/>
      <c r="G13" s="149"/>
      <c r="H13" s="149"/>
      <c r="I13" s="150"/>
    </row>
    <row r="14" spans="1:14" ht="24" customHeight="1" x14ac:dyDescent="0.2">
      <c r="A14" s="101" t="s">
        <v>237</v>
      </c>
      <c r="B14" s="102"/>
      <c r="C14" s="103" t="s">
        <v>238</v>
      </c>
      <c r="D14" s="103"/>
      <c r="E14" s="103"/>
      <c r="F14" s="103"/>
      <c r="G14" s="103"/>
      <c r="H14" s="103"/>
      <c r="I14" s="104"/>
    </row>
    <row r="15" spans="1:14" ht="49.15" customHeight="1" x14ac:dyDescent="0.2">
      <c r="A15" s="119" t="s">
        <v>192</v>
      </c>
      <c r="B15" s="120"/>
      <c r="C15" s="120"/>
      <c r="D15" s="120"/>
      <c r="E15" s="120"/>
      <c r="F15" s="120"/>
      <c r="G15" s="120"/>
      <c r="H15" s="120"/>
      <c r="I15" s="120"/>
      <c r="M15" s="67"/>
    </row>
    <row r="16" spans="1:14" ht="35.450000000000003" customHeight="1" x14ac:dyDescent="0.2">
      <c r="A16" s="41" t="s">
        <v>193</v>
      </c>
      <c r="B16" s="114" t="s">
        <v>199</v>
      </c>
      <c r="C16" s="115"/>
      <c r="D16" s="41" t="s">
        <v>200</v>
      </c>
      <c r="E16" s="114" t="s">
        <v>208</v>
      </c>
      <c r="F16" s="115"/>
      <c r="G16" s="41" t="s">
        <v>209</v>
      </c>
      <c r="H16" s="114" t="s">
        <v>268</v>
      </c>
      <c r="I16" s="115"/>
      <c r="J16" s="17"/>
      <c r="N16" s="67"/>
    </row>
    <row r="17" spans="1:11" ht="15.6" customHeight="1" x14ac:dyDescent="0.2">
      <c r="A17" s="42" t="s">
        <v>68</v>
      </c>
      <c r="B17" s="160">
        <f>'Stavební rozpočet SO1 '!AI215</f>
        <v>0</v>
      </c>
      <c r="C17" s="161"/>
      <c r="D17" s="110" t="s">
        <v>201</v>
      </c>
      <c r="E17" s="111"/>
      <c r="F17" s="43">
        <v>0</v>
      </c>
      <c r="G17" s="132" t="s">
        <v>242</v>
      </c>
      <c r="H17" s="133"/>
      <c r="I17" s="136">
        <f>'Vedlejší náklady'!AI30</f>
        <v>0</v>
      </c>
      <c r="J17" s="17"/>
    </row>
    <row r="18" spans="1:11" ht="15.6" customHeight="1" x14ac:dyDescent="0.2">
      <c r="A18" s="42" t="s">
        <v>456</v>
      </c>
      <c r="B18" s="160">
        <f>'Stavební rozpočet SO1.1'!K40</f>
        <v>0</v>
      </c>
      <c r="C18" s="161"/>
      <c r="D18" s="110" t="s">
        <v>202</v>
      </c>
      <c r="E18" s="111"/>
      <c r="F18" s="43">
        <v>0</v>
      </c>
      <c r="G18" s="134"/>
      <c r="H18" s="135"/>
      <c r="I18" s="137"/>
      <c r="J18" s="17"/>
    </row>
    <row r="19" spans="1:11" ht="15.6" customHeight="1" x14ac:dyDescent="0.2">
      <c r="A19" s="42"/>
      <c r="B19" s="160"/>
      <c r="C19" s="160"/>
      <c r="D19" s="110" t="s">
        <v>203</v>
      </c>
      <c r="E19" s="111"/>
      <c r="F19" s="43">
        <v>0</v>
      </c>
      <c r="G19" s="110"/>
      <c r="H19" s="111"/>
      <c r="I19" s="43"/>
      <c r="J19" s="17"/>
    </row>
    <row r="20" spans="1:11" ht="15.6" customHeight="1" x14ac:dyDescent="0.2">
      <c r="A20" s="42"/>
      <c r="B20" s="160"/>
      <c r="C20" s="160"/>
      <c r="D20" s="110"/>
      <c r="E20" s="111"/>
      <c r="F20" s="44"/>
      <c r="G20" s="110"/>
      <c r="H20" s="111"/>
      <c r="I20" s="43"/>
      <c r="J20" s="17"/>
    </row>
    <row r="21" spans="1:11" ht="12.75" customHeight="1" x14ac:dyDescent="0.2">
      <c r="A21" s="112" t="s">
        <v>136</v>
      </c>
      <c r="B21" s="113"/>
      <c r="C21" s="43">
        <v>0</v>
      </c>
      <c r="D21" s="110"/>
      <c r="E21" s="111"/>
      <c r="G21" s="110"/>
      <c r="H21" s="111"/>
      <c r="I21" s="44"/>
      <c r="J21" s="17"/>
    </row>
    <row r="22" spans="1:11" ht="12.75" customHeight="1" x14ac:dyDescent="0.2">
      <c r="A22" s="112" t="s">
        <v>194</v>
      </c>
      <c r="B22" s="113"/>
      <c r="C22" s="43">
        <v>0</v>
      </c>
      <c r="D22" s="110"/>
      <c r="E22" s="111"/>
      <c r="F22" s="44"/>
      <c r="G22" s="110"/>
      <c r="H22" s="111"/>
      <c r="I22" s="44"/>
      <c r="J22" s="17"/>
    </row>
    <row r="23" spans="1:11" ht="13.35" customHeight="1" x14ac:dyDescent="0.2">
      <c r="A23" s="112" t="s">
        <v>195</v>
      </c>
      <c r="B23" s="113"/>
      <c r="C23" s="66">
        <f>+B18+B17</f>
        <v>0</v>
      </c>
      <c r="D23" s="112" t="s">
        <v>204</v>
      </c>
      <c r="E23" s="113"/>
      <c r="F23" s="43">
        <f>SUM(F17:F18:F19)</f>
        <v>0</v>
      </c>
      <c r="G23" s="112" t="s">
        <v>211</v>
      </c>
      <c r="H23" s="113"/>
      <c r="I23" s="43">
        <f>I17</f>
        <v>0</v>
      </c>
      <c r="J23" s="17"/>
    </row>
    <row r="24" spans="1:11" x14ac:dyDescent="0.2">
      <c r="A24" s="45"/>
      <c r="B24" s="45"/>
      <c r="C24" s="45"/>
      <c r="D24" s="46"/>
      <c r="E24" s="46"/>
      <c r="F24" s="46"/>
      <c r="G24" s="46"/>
      <c r="H24" s="46"/>
      <c r="I24" s="46"/>
    </row>
    <row r="25" spans="1:11" ht="12.75" customHeight="1" x14ac:dyDescent="0.2">
      <c r="A25" s="105" t="s">
        <v>196</v>
      </c>
      <c r="B25" s="106"/>
      <c r="C25" s="47">
        <f>C23+F23+I23</f>
        <v>0</v>
      </c>
      <c r="D25" s="48"/>
      <c r="E25" s="49"/>
      <c r="F25" s="49"/>
      <c r="G25" s="49"/>
      <c r="H25" s="49"/>
      <c r="I25" s="49"/>
    </row>
    <row r="26" spans="1:11" ht="12.75" customHeight="1" x14ac:dyDescent="0.2">
      <c r="A26" s="105" t="s">
        <v>501</v>
      </c>
      <c r="B26" s="106"/>
      <c r="C26" s="47">
        <f>C25+F26</f>
        <v>0</v>
      </c>
      <c r="D26" s="105" t="s">
        <v>205</v>
      </c>
      <c r="E26" s="106"/>
      <c r="F26" s="47">
        <f>ROUND(C25*(15/100),2)</f>
        <v>0</v>
      </c>
      <c r="G26" s="105" t="s">
        <v>499</v>
      </c>
      <c r="H26" s="106"/>
      <c r="I26" s="47">
        <f>C25-F27</f>
        <v>0</v>
      </c>
      <c r="J26" s="17"/>
      <c r="K26" s="67"/>
    </row>
    <row r="27" spans="1:11" ht="12.75" customHeight="1" x14ac:dyDescent="0.2">
      <c r="A27" s="105" t="s">
        <v>502</v>
      </c>
      <c r="B27" s="106"/>
      <c r="C27" s="47">
        <f>C25+F27</f>
        <v>0</v>
      </c>
      <c r="D27" s="105" t="s">
        <v>206</v>
      </c>
      <c r="E27" s="106"/>
      <c r="F27" s="47">
        <f>ROUND(C25*(21/100),2)</f>
        <v>0</v>
      </c>
      <c r="G27" s="105" t="s">
        <v>500</v>
      </c>
      <c r="H27" s="106"/>
      <c r="I27" s="47">
        <f>ROUND(C25+F27,0)</f>
        <v>0</v>
      </c>
      <c r="J27" s="17"/>
    </row>
    <row r="28" spans="1:11" x14ac:dyDescent="0.2">
      <c r="A28" s="50"/>
      <c r="B28" s="50"/>
      <c r="C28" s="50"/>
      <c r="D28" s="50"/>
      <c r="E28" s="50"/>
      <c r="F28" s="50"/>
      <c r="G28" s="50"/>
      <c r="H28" s="50"/>
      <c r="I28" s="50"/>
    </row>
    <row r="29" spans="1:11" ht="12.75" customHeight="1" x14ac:dyDescent="0.2">
      <c r="A29" s="116" t="s">
        <v>197</v>
      </c>
      <c r="B29" s="117"/>
      <c r="C29" s="118"/>
      <c r="D29" s="116" t="s">
        <v>207</v>
      </c>
      <c r="E29" s="117"/>
      <c r="F29" s="118"/>
      <c r="G29" s="116" t="s">
        <v>212</v>
      </c>
      <c r="H29" s="117"/>
      <c r="I29" s="118"/>
      <c r="J29" s="18"/>
    </row>
    <row r="30" spans="1:11" ht="28.15" customHeight="1" x14ac:dyDescent="0.2">
      <c r="A30" s="107"/>
      <c r="B30" s="108"/>
      <c r="C30" s="109"/>
      <c r="D30" s="107"/>
      <c r="E30" s="108"/>
      <c r="F30" s="109"/>
      <c r="G30" s="107"/>
      <c r="H30" s="108"/>
      <c r="I30" s="109"/>
      <c r="J30" s="18"/>
    </row>
    <row r="31" spans="1:11" ht="28.15" customHeight="1" x14ac:dyDescent="0.2">
      <c r="A31" s="107"/>
      <c r="B31" s="108"/>
      <c r="C31" s="109"/>
      <c r="D31" s="107"/>
      <c r="E31" s="108"/>
      <c r="F31" s="109"/>
      <c r="G31" s="107"/>
      <c r="H31" s="108"/>
      <c r="I31" s="109"/>
      <c r="J31" s="18"/>
    </row>
    <row r="32" spans="1:11" ht="28.15" customHeight="1" x14ac:dyDescent="0.2">
      <c r="A32" s="129"/>
      <c r="B32" s="130"/>
      <c r="C32" s="131"/>
      <c r="D32" s="129"/>
      <c r="E32" s="130"/>
      <c r="F32" s="131"/>
      <c r="G32" s="129"/>
      <c r="H32" s="130"/>
      <c r="I32" s="131"/>
      <c r="J32" s="18"/>
    </row>
    <row r="33" spans="1:10" ht="12.75" customHeight="1" x14ac:dyDescent="0.2">
      <c r="A33" s="126" t="s">
        <v>198</v>
      </c>
      <c r="B33" s="127"/>
      <c r="C33" s="128"/>
      <c r="D33" s="126" t="s">
        <v>198</v>
      </c>
      <c r="E33" s="127"/>
      <c r="F33" s="128"/>
      <c r="G33" s="126" t="s">
        <v>198</v>
      </c>
      <c r="H33" s="127"/>
      <c r="I33" s="128"/>
      <c r="J33" s="18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</row>
  </sheetData>
  <sheetProtection algorithmName="SHA-512" hashValue="gbhfzEom3B+F3y6okpqTEKdoEZp1iKaTMNc/X3txUu4+1HpdBn9iRhlOITNtJMkgop2V2m+/phr16OwO2e7zEw==" saltValue="lrte3ZXWAwZqPGz71HskCQ==" spinCount="100000" sheet="1" objects="1" scenarios="1"/>
  <protectedRanges>
    <protectedRange sqref="A29:I33 I6 F6 F8 F10 C8 C10" name="Oblast1"/>
  </protectedRanges>
  <mergeCells count="82">
    <mergeCell ref="G19:H19"/>
    <mergeCell ref="G20:H20"/>
    <mergeCell ref="B17:C17"/>
    <mergeCell ref="B18:C18"/>
    <mergeCell ref="B19:C19"/>
    <mergeCell ref="B20:C20"/>
    <mergeCell ref="D19:E19"/>
    <mergeCell ref="D20:E20"/>
    <mergeCell ref="D18:E18"/>
    <mergeCell ref="A1:I1"/>
    <mergeCell ref="A2:B3"/>
    <mergeCell ref="A4:B5"/>
    <mergeCell ref="A6:B7"/>
    <mergeCell ref="A8:B9"/>
    <mergeCell ref="C2:D3"/>
    <mergeCell ref="C4:D5"/>
    <mergeCell ref="C6:D7"/>
    <mergeCell ref="C8:D9"/>
    <mergeCell ref="I2:I3"/>
    <mergeCell ref="I4:I5"/>
    <mergeCell ref="I6:I7"/>
    <mergeCell ref="F2:G3"/>
    <mergeCell ref="F4:G5"/>
    <mergeCell ref="H2:H3"/>
    <mergeCell ref="H4:H5"/>
    <mergeCell ref="A12:B13"/>
    <mergeCell ref="C12:I13"/>
    <mergeCell ref="F6:G7"/>
    <mergeCell ref="F8:G9"/>
    <mergeCell ref="F10:G11"/>
    <mergeCell ref="H6:H7"/>
    <mergeCell ref="H8:H9"/>
    <mergeCell ref="H10:H11"/>
    <mergeCell ref="C10:D11"/>
    <mergeCell ref="E2:E3"/>
    <mergeCell ref="E4:E5"/>
    <mergeCell ref="E6:E7"/>
    <mergeCell ref="I8:I9"/>
    <mergeCell ref="I10:I11"/>
    <mergeCell ref="E16:F16"/>
    <mergeCell ref="H16:I16"/>
    <mergeCell ref="D17:E17"/>
    <mergeCell ref="G17:H18"/>
    <mergeCell ref="I17:I18"/>
    <mergeCell ref="A15:I15"/>
    <mergeCell ref="E8:E9"/>
    <mergeCell ref="E10:E11"/>
    <mergeCell ref="A10:B11"/>
    <mergeCell ref="G33:I33"/>
    <mergeCell ref="A30:C30"/>
    <mergeCell ref="D27:E27"/>
    <mergeCell ref="A31:C31"/>
    <mergeCell ref="A32:C32"/>
    <mergeCell ref="A33:C33"/>
    <mergeCell ref="D30:F30"/>
    <mergeCell ref="D31:F31"/>
    <mergeCell ref="D32:F32"/>
    <mergeCell ref="D33:F33"/>
    <mergeCell ref="D29:F29"/>
    <mergeCell ref="G32:I32"/>
    <mergeCell ref="G26:H26"/>
    <mergeCell ref="G27:H27"/>
    <mergeCell ref="A29:C29"/>
    <mergeCell ref="G29:I29"/>
    <mergeCell ref="A26:B26"/>
    <mergeCell ref="D26:E26"/>
    <mergeCell ref="A14:B14"/>
    <mergeCell ref="C14:I14"/>
    <mergeCell ref="A27:B27"/>
    <mergeCell ref="G30:I30"/>
    <mergeCell ref="G31:I31"/>
    <mergeCell ref="G21:H21"/>
    <mergeCell ref="G22:H22"/>
    <mergeCell ref="G23:H23"/>
    <mergeCell ref="A25:B25"/>
    <mergeCell ref="D21:E21"/>
    <mergeCell ref="D22:E22"/>
    <mergeCell ref="D23:E23"/>
    <mergeCell ref="A21:B21"/>
    <mergeCell ref="A22:B22"/>
    <mergeCell ref="A23:B23"/>
    <mergeCell ref="B16:C16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16"/>
  <sheetViews>
    <sheetView tabSelected="1" zoomScaleNormal="100" workbookViewId="0">
      <selection activeCell="H85" sqref="H85"/>
    </sheetView>
  </sheetViews>
  <sheetFormatPr defaultRowHeight="12.75" x14ac:dyDescent="0.2"/>
  <cols>
    <col min="1" max="1" width="3" customWidth="1"/>
    <col min="2" max="2" width="7" customWidth="1"/>
    <col min="3" max="3" width="10.7109375" customWidth="1"/>
    <col min="4" max="4" width="51.7109375" style="31" customWidth="1"/>
    <col min="5" max="5" width="5.7109375" style="27" customWidth="1"/>
    <col min="6" max="6" width="11.28515625" customWidth="1"/>
    <col min="7" max="7" width="11.7109375" customWidth="1"/>
    <col min="8" max="8" width="12.140625" customWidth="1"/>
    <col min="9" max="9" width="12.42578125" customWidth="1"/>
    <col min="10" max="10" width="24" customWidth="1"/>
    <col min="11" max="34" width="9.7109375" hidden="1" customWidth="1"/>
    <col min="35" max="35" width="1.140625" customWidth="1"/>
  </cols>
  <sheetData>
    <row r="1" spans="1:34" ht="18.75" customHeight="1" thickBot="1" x14ac:dyDescent="0.25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34" x14ac:dyDescent="0.2">
      <c r="A2" s="165" t="s">
        <v>1</v>
      </c>
      <c r="B2" s="166"/>
      <c r="C2" s="166"/>
      <c r="D2" s="156" t="s">
        <v>494</v>
      </c>
      <c r="E2" s="169" t="s">
        <v>150</v>
      </c>
      <c r="F2" s="166"/>
      <c r="G2" s="169"/>
      <c r="H2" s="166"/>
      <c r="I2" s="169" t="s">
        <v>171</v>
      </c>
      <c r="J2" s="170" t="s">
        <v>411</v>
      </c>
    </row>
    <row r="3" spans="1:34" x14ac:dyDescent="0.2">
      <c r="A3" s="167"/>
      <c r="B3" s="168"/>
      <c r="C3" s="168"/>
      <c r="D3" s="158"/>
      <c r="E3" s="168"/>
      <c r="F3" s="168"/>
      <c r="G3" s="168"/>
      <c r="H3" s="168"/>
      <c r="I3" s="168"/>
      <c r="J3" s="171"/>
    </row>
    <row r="4" spans="1:34" x14ac:dyDescent="0.2">
      <c r="A4" s="172" t="s">
        <v>2</v>
      </c>
      <c r="B4" s="168"/>
      <c r="C4" s="168"/>
      <c r="D4" s="121" t="s">
        <v>114</v>
      </c>
      <c r="E4" s="173" t="s">
        <v>151</v>
      </c>
      <c r="F4" s="168"/>
      <c r="G4" s="173" t="s">
        <v>5</v>
      </c>
      <c r="H4" s="168"/>
      <c r="I4" s="173" t="s">
        <v>172</v>
      </c>
      <c r="J4" s="174" t="s">
        <v>408</v>
      </c>
    </row>
    <row r="5" spans="1:34" x14ac:dyDescent="0.2">
      <c r="A5" s="167"/>
      <c r="B5" s="168"/>
      <c r="C5" s="168"/>
      <c r="D5" s="122"/>
      <c r="E5" s="168"/>
      <c r="F5" s="168"/>
      <c r="G5" s="168"/>
      <c r="H5" s="168"/>
      <c r="I5" s="168"/>
      <c r="J5" s="171"/>
    </row>
    <row r="6" spans="1:34" x14ac:dyDescent="0.2">
      <c r="A6" s="172" t="s">
        <v>3</v>
      </c>
      <c r="B6" s="168"/>
      <c r="C6" s="168"/>
      <c r="D6" s="121" t="s">
        <v>406</v>
      </c>
      <c r="E6" s="173" t="s">
        <v>152</v>
      </c>
      <c r="F6" s="168"/>
      <c r="G6" s="168"/>
      <c r="H6" s="168"/>
      <c r="I6" s="173" t="s">
        <v>173</v>
      </c>
      <c r="J6" s="139"/>
    </row>
    <row r="7" spans="1:34" ht="30" customHeight="1" x14ac:dyDescent="0.2">
      <c r="A7" s="167"/>
      <c r="B7" s="168"/>
      <c r="C7" s="168"/>
      <c r="D7" s="122"/>
      <c r="E7" s="168"/>
      <c r="F7" s="168"/>
      <c r="G7" s="168"/>
      <c r="H7" s="168"/>
      <c r="I7" s="168"/>
      <c r="J7" s="140"/>
    </row>
    <row r="8" spans="1:34" x14ac:dyDescent="0.2">
      <c r="A8" s="172" t="s">
        <v>240</v>
      </c>
      <c r="B8" s="168"/>
      <c r="C8" s="168"/>
      <c r="D8" s="121" t="s">
        <v>489</v>
      </c>
      <c r="E8" s="173" t="s">
        <v>153</v>
      </c>
      <c r="F8" s="168"/>
      <c r="G8" s="182">
        <v>43256</v>
      </c>
      <c r="H8" s="168"/>
      <c r="I8" s="173" t="s">
        <v>174</v>
      </c>
      <c r="J8" s="174"/>
    </row>
    <row r="9" spans="1:34" ht="13.5" thickBot="1" x14ac:dyDescent="0.25">
      <c r="A9" s="181"/>
      <c r="B9" s="179"/>
      <c r="C9" s="179"/>
      <c r="D9" s="123"/>
      <c r="E9" s="179"/>
      <c r="F9" s="179"/>
      <c r="G9" s="179"/>
      <c r="H9" s="179"/>
      <c r="I9" s="179"/>
      <c r="J9" s="180"/>
    </row>
    <row r="10" spans="1:34" x14ac:dyDescent="0.2">
      <c r="A10" s="1" t="s">
        <v>5</v>
      </c>
      <c r="B10" s="5" t="s">
        <v>5</v>
      </c>
      <c r="C10" s="5" t="s">
        <v>5</v>
      </c>
      <c r="D10" s="69" t="s">
        <v>5</v>
      </c>
      <c r="E10" s="34" t="s">
        <v>5</v>
      </c>
      <c r="F10" s="5" t="s">
        <v>5</v>
      </c>
      <c r="G10" s="11" t="s">
        <v>166</v>
      </c>
      <c r="H10" s="176" t="s">
        <v>168</v>
      </c>
      <c r="I10" s="177"/>
      <c r="J10" s="178"/>
    </row>
    <row r="11" spans="1:34" ht="13.5" thickBot="1" x14ac:dyDescent="0.25">
      <c r="A11" s="2" t="s">
        <v>6</v>
      </c>
      <c r="B11" s="6" t="s">
        <v>67</v>
      </c>
      <c r="C11" s="6" t="s">
        <v>71</v>
      </c>
      <c r="D11" s="70" t="s">
        <v>115</v>
      </c>
      <c r="E11" s="38" t="s">
        <v>154</v>
      </c>
      <c r="F11" s="8" t="s">
        <v>165</v>
      </c>
      <c r="G11" s="12" t="s">
        <v>167</v>
      </c>
      <c r="H11" s="13" t="s">
        <v>169</v>
      </c>
      <c r="I11" s="14" t="s">
        <v>175</v>
      </c>
      <c r="J11" s="15" t="s">
        <v>176</v>
      </c>
      <c r="M11" s="16" t="s">
        <v>178</v>
      </c>
      <c r="N11" s="16" t="s">
        <v>179</v>
      </c>
      <c r="O11" s="16" t="s">
        <v>184</v>
      </c>
      <c r="P11" s="16" t="s">
        <v>185</v>
      </c>
      <c r="Q11" s="16" t="s">
        <v>186</v>
      </c>
      <c r="R11" s="16" t="s">
        <v>187</v>
      </c>
      <c r="S11" s="16" t="s">
        <v>188</v>
      </c>
      <c r="T11" s="16" t="s">
        <v>189</v>
      </c>
      <c r="U11" s="16" t="s">
        <v>190</v>
      </c>
    </row>
    <row r="12" spans="1:34" x14ac:dyDescent="0.2">
      <c r="A12" s="3"/>
      <c r="B12" s="3"/>
      <c r="C12" s="7" t="s">
        <v>7</v>
      </c>
      <c r="D12" s="162" t="s">
        <v>116</v>
      </c>
      <c r="E12" s="175"/>
      <c r="F12" s="175"/>
      <c r="G12" s="175"/>
      <c r="H12" s="22">
        <f>SUM(H13:H27)</f>
        <v>0</v>
      </c>
      <c r="I12" s="22">
        <f>SUM(I13:I27)</f>
        <v>0</v>
      </c>
      <c r="J12" s="22">
        <f>H12+I12</f>
        <v>0</v>
      </c>
      <c r="M12" s="22">
        <f>IF(N12="PR",J12,SUM(L20:L20))</f>
        <v>0</v>
      </c>
      <c r="N12" s="16" t="s">
        <v>180</v>
      </c>
      <c r="O12" s="22">
        <f>IF(N12="HS",H12,0)</f>
        <v>0</v>
      </c>
      <c r="P12" s="22">
        <f>IF(N12="HS",I12-M12,0)</f>
        <v>0</v>
      </c>
      <c r="Q12" s="22">
        <f>IF(N12="PS",H12,0)</f>
        <v>0</v>
      </c>
      <c r="R12" s="22">
        <f>IF(N12="PS",I12-M12,0)</f>
        <v>0</v>
      </c>
      <c r="S12" s="22">
        <f>IF(N12="MP",H12,0)</f>
        <v>0</v>
      </c>
      <c r="T12" s="22">
        <f>IF(N12="MP",I12-M12,0)</f>
        <v>0</v>
      </c>
      <c r="U12" s="22">
        <f>IF(N12="OM",H12,0)</f>
        <v>0</v>
      </c>
      <c r="V12" s="16" t="s">
        <v>68</v>
      </c>
      <c r="AF12" s="22">
        <f>SUM(W20:W20)</f>
        <v>0</v>
      </c>
      <c r="AG12" s="22">
        <f>SUM(X20:X20)</f>
        <v>0</v>
      </c>
      <c r="AH12" s="22">
        <f>SUM(Y20:Y20)</f>
        <v>0</v>
      </c>
    </row>
    <row r="13" spans="1:34" x14ac:dyDescent="0.2">
      <c r="A13" s="82" t="s">
        <v>7</v>
      </c>
      <c r="B13" s="24"/>
      <c r="C13" s="24" t="s">
        <v>270</v>
      </c>
      <c r="D13" s="29" t="s">
        <v>271</v>
      </c>
      <c r="E13" s="35" t="s">
        <v>161</v>
      </c>
      <c r="F13" s="30">
        <v>3</v>
      </c>
      <c r="G13" s="30">
        <v>0</v>
      </c>
      <c r="H13" s="9">
        <f t="shared" ref="H13:H20" si="0">ROUND(F13*AB13,2)</f>
        <v>0</v>
      </c>
      <c r="I13" s="9">
        <f>+G13*F13</f>
        <v>0</v>
      </c>
      <c r="J13" s="9">
        <f t="shared" ref="J13:J18" si="1">ROUND(F13*G13,2)</f>
        <v>0</v>
      </c>
      <c r="K13" s="19"/>
      <c r="L13" s="9"/>
      <c r="W13" s="9"/>
      <c r="X13" s="9"/>
      <c r="Y13" s="9"/>
      <c r="AA13" s="21"/>
      <c r="AB13" s="21"/>
      <c r="AC13" s="21"/>
    </row>
    <row r="14" spans="1:34" x14ac:dyDescent="0.2">
      <c r="A14" s="82" t="s">
        <v>8</v>
      </c>
      <c r="B14" s="24"/>
      <c r="C14" s="24" t="s">
        <v>272</v>
      </c>
      <c r="D14" s="29" t="s">
        <v>273</v>
      </c>
      <c r="E14" s="35" t="s">
        <v>161</v>
      </c>
      <c r="F14" s="30">
        <v>3</v>
      </c>
      <c r="G14" s="30">
        <v>0</v>
      </c>
      <c r="H14" s="9">
        <f>ROUND(F14*AB14,2)</f>
        <v>0</v>
      </c>
      <c r="I14" s="9">
        <f>+F14*G14</f>
        <v>0</v>
      </c>
      <c r="J14" s="9">
        <f t="shared" si="1"/>
        <v>0</v>
      </c>
      <c r="K14" s="19"/>
      <c r="L14" s="9"/>
      <c r="W14" s="9"/>
      <c r="X14" s="9"/>
      <c r="Y14" s="9"/>
      <c r="AA14" s="21"/>
      <c r="AB14" s="21"/>
      <c r="AC14" s="21"/>
    </row>
    <row r="15" spans="1:34" x14ac:dyDescent="0.2">
      <c r="A15" s="82" t="s">
        <v>9</v>
      </c>
      <c r="B15" s="24"/>
      <c r="C15" s="24" t="s">
        <v>385</v>
      </c>
      <c r="D15" s="29" t="s">
        <v>386</v>
      </c>
      <c r="E15" s="35" t="s">
        <v>156</v>
      </c>
      <c r="F15" s="30">
        <v>966</v>
      </c>
      <c r="G15" s="30">
        <v>0</v>
      </c>
      <c r="H15" s="9">
        <f>ROUND(F15*AB15,2)</f>
        <v>0</v>
      </c>
      <c r="I15" s="9">
        <f>+F15*G15</f>
        <v>0</v>
      </c>
      <c r="J15" s="9">
        <f t="shared" si="1"/>
        <v>0</v>
      </c>
      <c r="K15" s="19"/>
      <c r="L15" s="9"/>
      <c r="W15" s="9"/>
      <c r="X15" s="9"/>
      <c r="Y15" s="9"/>
      <c r="AA15" s="21"/>
      <c r="AB15" s="21"/>
      <c r="AC15" s="21"/>
    </row>
    <row r="16" spans="1:34" x14ac:dyDescent="0.2">
      <c r="A16" s="82" t="s">
        <v>10</v>
      </c>
      <c r="B16" s="24"/>
      <c r="C16" s="24" t="s">
        <v>458</v>
      </c>
      <c r="D16" s="29" t="s">
        <v>307</v>
      </c>
      <c r="E16" s="35" t="s">
        <v>161</v>
      </c>
      <c r="F16" s="30">
        <v>2</v>
      </c>
      <c r="G16" s="30">
        <v>0</v>
      </c>
      <c r="H16" s="9">
        <f t="shared" si="0"/>
        <v>0</v>
      </c>
      <c r="I16" s="9">
        <f>+G16*F16</f>
        <v>0</v>
      </c>
      <c r="J16" s="9">
        <f>ROUND(F16*G16,2)</f>
        <v>0</v>
      </c>
      <c r="K16" s="19"/>
      <c r="L16" s="9"/>
      <c r="W16" s="9"/>
      <c r="X16" s="9"/>
      <c r="Y16" s="9"/>
      <c r="AA16" s="21"/>
      <c r="AB16" s="21"/>
      <c r="AC16" s="21"/>
    </row>
    <row r="17" spans="1:36" x14ac:dyDescent="0.2">
      <c r="A17" s="82" t="s">
        <v>11</v>
      </c>
      <c r="B17" s="24"/>
      <c r="C17" s="24"/>
      <c r="D17" s="29" t="s">
        <v>308</v>
      </c>
      <c r="E17" s="35" t="s">
        <v>161</v>
      </c>
      <c r="F17" s="30">
        <v>3</v>
      </c>
      <c r="G17" s="30">
        <v>0</v>
      </c>
      <c r="H17" s="9">
        <f t="shared" si="0"/>
        <v>0</v>
      </c>
      <c r="I17" s="9">
        <f>+G17*F17</f>
        <v>0</v>
      </c>
      <c r="J17" s="9">
        <f t="shared" si="1"/>
        <v>0</v>
      </c>
      <c r="K17" s="19"/>
      <c r="L17" s="9"/>
      <c r="W17" s="9"/>
      <c r="X17" s="9"/>
      <c r="Y17" s="9"/>
      <c r="AA17" s="21"/>
      <c r="AB17" s="21"/>
      <c r="AC17" s="21"/>
    </row>
    <row r="18" spans="1:36" s="87" customFormat="1" x14ac:dyDescent="0.2">
      <c r="A18" s="82" t="s">
        <v>12</v>
      </c>
      <c r="B18" s="81"/>
      <c r="C18" s="82" t="s">
        <v>274</v>
      </c>
      <c r="D18" s="83" t="s">
        <v>275</v>
      </c>
      <c r="E18" s="84" t="s">
        <v>155</v>
      </c>
      <c r="F18" s="85">
        <f>F19</f>
        <v>105.5</v>
      </c>
      <c r="G18" s="85">
        <v>0</v>
      </c>
      <c r="H18" s="86">
        <f t="shared" si="0"/>
        <v>0</v>
      </c>
      <c r="I18" s="85">
        <f>+F18*G18</f>
        <v>0</v>
      </c>
      <c r="J18" s="86">
        <f t="shared" si="1"/>
        <v>0</v>
      </c>
      <c r="M18" s="88"/>
      <c r="N18" s="89"/>
      <c r="O18" s="88"/>
      <c r="P18" s="88"/>
      <c r="Q18" s="88"/>
      <c r="R18" s="88"/>
      <c r="S18" s="88"/>
      <c r="T18" s="88"/>
      <c r="U18" s="88"/>
      <c r="V18" s="89"/>
      <c r="AF18" s="88"/>
      <c r="AG18" s="88"/>
      <c r="AH18" s="88"/>
    </row>
    <row r="19" spans="1:36" s="87" customFormat="1" x14ac:dyDescent="0.2">
      <c r="A19" s="82"/>
      <c r="B19" s="81"/>
      <c r="C19" s="82"/>
      <c r="D19" s="40" t="s">
        <v>439</v>
      </c>
      <c r="E19" s="84"/>
      <c r="F19" s="74">
        <f>1055*0.1</f>
        <v>105.5</v>
      </c>
      <c r="G19" s="85"/>
      <c r="H19" s="86"/>
      <c r="I19" s="85"/>
      <c r="J19" s="86"/>
      <c r="M19" s="88"/>
      <c r="N19" s="89"/>
      <c r="O19" s="88"/>
      <c r="P19" s="88"/>
      <c r="Q19" s="88"/>
      <c r="R19" s="88"/>
      <c r="S19" s="88"/>
      <c r="T19" s="88"/>
      <c r="U19" s="88"/>
      <c r="V19" s="89"/>
      <c r="AF19" s="88"/>
      <c r="AG19" s="88"/>
      <c r="AH19" s="88"/>
    </row>
    <row r="20" spans="1:36" s="87" customFormat="1" x14ac:dyDescent="0.2">
      <c r="A20" s="82" t="s">
        <v>13</v>
      </c>
      <c r="B20" s="82"/>
      <c r="C20" s="82" t="s">
        <v>72</v>
      </c>
      <c r="D20" s="83" t="s">
        <v>117</v>
      </c>
      <c r="E20" s="84" t="s">
        <v>155</v>
      </c>
      <c r="F20" s="85">
        <f>SUM(F21:F23)</f>
        <v>1701.7359999999999</v>
      </c>
      <c r="G20" s="85">
        <v>0</v>
      </c>
      <c r="H20" s="86">
        <f t="shared" si="0"/>
        <v>0</v>
      </c>
      <c r="I20" s="86">
        <f>J20-H20</f>
        <v>0</v>
      </c>
      <c r="J20" s="86">
        <f>ROUND(F20*G20,2)</f>
        <v>0</v>
      </c>
      <c r="K20" s="90" t="s">
        <v>7</v>
      </c>
      <c r="L20" s="86">
        <f>IF(K20="5",I20,0)</f>
        <v>0</v>
      </c>
      <c r="W20" s="86">
        <f>IF(AA20=0,J20,0)</f>
        <v>0</v>
      </c>
      <c r="X20" s="86">
        <f>IF(AA20=15,J20,0)</f>
        <v>0</v>
      </c>
      <c r="Y20" s="86">
        <f>IF(AA20=21,J20,0)</f>
        <v>0</v>
      </c>
      <c r="AA20" s="86">
        <v>21</v>
      </c>
      <c r="AB20" s="86">
        <f>G20*0</f>
        <v>0</v>
      </c>
      <c r="AC20" s="86">
        <f>G20*(1-0)</f>
        <v>0</v>
      </c>
    </row>
    <row r="21" spans="1:36" s="87" customFormat="1" x14ac:dyDescent="0.2">
      <c r="A21" s="82"/>
      <c r="B21" s="82"/>
      <c r="C21" s="82"/>
      <c r="D21" s="40" t="s">
        <v>376</v>
      </c>
      <c r="E21" s="84"/>
      <c r="F21" s="74">
        <f>F29</f>
        <v>1408.95</v>
      </c>
      <c r="G21" s="85"/>
      <c r="H21" s="86"/>
      <c r="I21" s="86"/>
      <c r="J21" s="86"/>
      <c r="K21" s="90"/>
      <c r="L21" s="86"/>
      <c r="W21" s="86"/>
      <c r="X21" s="86"/>
      <c r="Y21" s="86"/>
      <c r="AA21" s="86"/>
      <c r="AB21" s="86"/>
      <c r="AC21" s="86"/>
    </row>
    <row r="22" spans="1:36" s="87" customFormat="1" x14ac:dyDescent="0.2">
      <c r="A22" s="82"/>
      <c r="B22" s="82"/>
      <c r="C22" s="82"/>
      <c r="D22" s="40" t="s">
        <v>377</v>
      </c>
      <c r="E22" s="84"/>
      <c r="F22" s="74">
        <f>F34</f>
        <v>138.70600000000002</v>
      </c>
      <c r="G22" s="85"/>
      <c r="H22" s="86"/>
      <c r="I22" s="86"/>
      <c r="J22" s="86"/>
      <c r="K22" s="90"/>
      <c r="L22" s="86"/>
      <c r="W22" s="86"/>
      <c r="X22" s="86"/>
      <c r="Y22" s="86"/>
      <c r="AA22" s="86"/>
      <c r="AB22" s="86"/>
      <c r="AC22" s="86"/>
    </row>
    <row r="23" spans="1:36" s="87" customFormat="1" x14ac:dyDescent="0.2">
      <c r="A23" s="82"/>
      <c r="B23" s="82"/>
      <c r="C23" s="82"/>
      <c r="D23" s="40" t="s">
        <v>378</v>
      </c>
      <c r="E23" s="84"/>
      <c r="F23" s="74">
        <f>F54</f>
        <v>154.08000000000001</v>
      </c>
      <c r="G23" s="85"/>
      <c r="H23" s="86"/>
      <c r="I23" s="86"/>
      <c r="J23" s="86"/>
      <c r="K23" s="90"/>
      <c r="L23" s="86"/>
      <c r="W23" s="86"/>
      <c r="X23" s="86"/>
      <c r="Y23" s="86"/>
      <c r="AA23" s="86"/>
      <c r="AB23" s="86"/>
      <c r="AC23" s="86"/>
    </row>
    <row r="24" spans="1:36" s="87" customFormat="1" x14ac:dyDescent="0.2">
      <c r="A24" s="82" t="s">
        <v>14</v>
      </c>
      <c r="B24" s="82"/>
      <c r="C24" s="82" t="s">
        <v>460</v>
      </c>
      <c r="D24" s="83" t="s">
        <v>459</v>
      </c>
      <c r="E24" s="84" t="s">
        <v>157</v>
      </c>
      <c r="F24" s="85">
        <f>SUM(F25)</f>
        <v>966</v>
      </c>
      <c r="G24" s="85">
        <v>0</v>
      </c>
      <c r="H24" s="86">
        <f>ROUND(F24*AB24,2)</f>
        <v>0</v>
      </c>
      <c r="I24" s="86">
        <f>J24-H24</f>
        <v>0</v>
      </c>
      <c r="J24" s="86">
        <f>ROUND(F24*G24,2)</f>
        <v>0</v>
      </c>
      <c r="K24" s="90" t="s">
        <v>7</v>
      </c>
      <c r="L24" s="86">
        <f>IF(K24="5",I24,0)</f>
        <v>0</v>
      </c>
      <c r="W24" s="86">
        <f>IF(AA24=0,J24,0)</f>
        <v>0</v>
      </c>
      <c r="X24" s="86">
        <f>IF(AA24=15,J24,0)</f>
        <v>0</v>
      </c>
      <c r="Y24" s="86">
        <f>IF(AA24=21,J24,0)</f>
        <v>0</v>
      </c>
      <c r="AA24" s="86">
        <v>21</v>
      </c>
      <c r="AB24" s="86">
        <f>G24*0</f>
        <v>0</v>
      </c>
      <c r="AC24" s="86">
        <f>G24*(1-0)</f>
        <v>0</v>
      </c>
      <c r="AJ24" s="99"/>
    </row>
    <row r="25" spans="1:36" s="87" customFormat="1" x14ac:dyDescent="0.2">
      <c r="A25" s="82"/>
      <c r="B25" s="82"/>
      <c r="C25" s="82"/>
      <c r="D25" s="40" t="s">
        <v>478</v>
      </c>
      <c r="E25" s="84"/>
      <c r="F25" s="74">
        <v>966</v>
      </c>
      <c r="G25" s="85"/>
      <c r="H25" s="86"/>
      <c r="I25" s="86"/>
      <c r="J25" s="86"/>
      <c r="K25" s="90"/>
      <c r="L25" s="86"/>
      <c r="W25" s="86"/>
      <c r="X25" s="86"/>
      <c r="Y25" s="86"/>
      <c r="AA25" s="86"/>
      <c r="AB25" s="86"/>
      <c r="AC25" s="86"/>
    </row>
    <row r="26" spans="1:36" x14ac:dyDescent="0.2">
      <c r="A26" s="24" t="s">
        <v>15</v>
      </c>
      <c r="B26" s="24"/>
      <c r="C26" s="24" t="s">
        <v>88</v>
      </c>
      <c r="D26" s="29" t="s">
        <v>137</v>
      </c>
      <c r="E26" s="35" t="s">
        <v>155</v>
      </c>
      <c r="F26" s="30">
        <f>+F27</f>
        <v>2048.5</v>
      </c>
      <c r="G26" s="30">
        <v>0</v>
      </c>
      <c r="H26" s="9">
        <f>ROUND(F26*AB26,2)</f>
        <v>0</v>
      </c>
      <c r="I26" s="9">
        <f>J26-H26</f>
        <v>0</v>
      </c>
      <c r="J26" s="9">
        <f>ROUND(F26*G26,2)</f>
        <v>0</v>
      </c>
      <c r="K26" s="19"/>
      <c r="L26" s="9"/>
      <c r="W26" s="9"/>
      <c r="X26" s="9"/>
      <c r="Y26" s="9"/>
      <c r="AA26" s="21"/>
      <c r="AB26" s="21"/>
      <c r="AC26" s="21"/>
    </row>
    <row r="27" spans="1:36" x14ac:dyDescent="0.2">
      <c r="A27" s="24"/>
      <c r="B27" s="24"/>
      <c r="C27" s="24"/>
      <c r="D27" s="40" t="s">
        <v>388</v>
      </c>
      <c r="E27" s="40"/>
      <c r="F27" s="74">
        <f>4097*0.5</f>
        <v>2048.5</v>
      </c>
      <c r="G27" s="30"/>
      <c r="H27" s="9"/>
      <c r="I27" s="9"/>
      <c r="J27" s="9"/>
      <c r="K27" s="19"/>
      <c r="L27" s="9"/>
      <c r="W27" s="9"/>
      <c r="X27" s="9"/>
      <c r="Y27" s="9"/>
      <c r="AA27" s="21"/>
      <c r="AB27" s="21"/>
      <c r="AC27" s="21"/>
    </row>
    <row r="28" spans="1:36" x14ac:dyDescent="0.2">
      <c r="A28" s="25"/>
      <c r="B28" s="25"/>
      <c r="C28" s="26" t="s">
        <v>18</v>
      </c>
      <c r="D28" s="162" t="s">
        <v>118</v>
      </c>
      <c r="E28" s="175"/>
      <c r="F28" s="175"/>
      <c r="G28" s="175"/>
      <c r="H28" s="22">
        <f>SUM(H29:H32)</f>
        <v>0</v>
      </c>
      <c r="I28" s="22">
        <f>SUM(I29:I32)</f>
        <v>0</v>
      </c>
      <c r="J28" s="22">
        <f>H28+I28</f>
        <v>0</v>
      </c>
      <c r="M28" s="22">
        <f>IF(N28="PR",J28,SUM(L29:L31))</f>
        <v>0</v>
      </c>
      <c r="N28" s="16" t="s">
        <v>180</v>
      </c>
      <c r="O28" s="22">
        <f>IF(N28="HS",H28,0)</f>
        <v>0</v>
      </c>
      <c r="P28" s="22">
        <f>IF(N28="HS",I28-M28,0)</f>
        <v>0</v>
      </c>
      <c r="Q28" s="22">
        <f>IF(N28="PS",H28,0)</f>
        <v>0</v>
      </c>
      <c r="R28" s="22">
        <f>IF(N28="PS",I28-M28,0)</f>
        <v>0</v>
      </c>
      <c r="S28" s="22">
        <f>IF(N28="MP",H28,0)</f>
        <v>0</v>
      </c>
      <c r="T28" s="22">
        <f>IF(N28="MP",I28-M28,0)</f>
        <v>0</v>
      </c>
      <c r="U28" s="22">
        <f>IF(N28="OM",H28,0)</f>
        <v>0</v>
      </c>
      <c r="V28" s="16" t="s">
        <v>68</v>
      </c>
      <c r="AF28" s="22">
        <f>SUM(W29:W31)</f>
        <v>0</v>
      </c>
      <c r="AG28" s="22">
        <f>SUM(X29:X31)</f>
        <v>0</v>
      </c>
      <c r="AH28" s="22">
        <f>SUM(Y29:Y31)</f>
        <v>0</v>
      </c>
    </row>
    <row r="29" spans="1:36" x14ac:dyDescent="0.2">
      <c r="A29" s="24" t="s">
        <v>16</v>
      </c>
      <c r="B29" s="24"/>
      <c r="C29" s="24" t="s">
        <v>73</v>
      </c>
      <c r="D29" s="29" t="s">
        <v>119</v>
      </c>
      <c r="E29" s="35" t="s">
        <v>155</v>
      </c>
      <c r="F29" s="30">
        <f>+F30</f>
        <v>1408.95</v>
      </c>
      <c r="G29" s="30">
        <v>0</v>
      </c>
      <c r="H29" s="9">
        <f>ROUND(F29*AB29,2)</f>
        <v>0</v>
      </c>
      <c r="I29" s="9">
        <f>J29-H29</f>
        <v>0</v>
      </c>
      <c r="J29" s="9">
        <f>ROUND(F29*G29,2)</f>
        <v>0</v>
      </c>
      <c r="K29" s="19" t="s">
        <v>7</v>
      </c>
      <c r="L29" s="9">
        <f>IF(K29="5",I29,0)</f>
        <v>0</v>
      </c>
      <c r="W29" s="9">
        <f>IF(AA29=0,J29,0)</f>
        <v>0</v>
      </c>
      <c r="X29" s="9">
        <f>IF(AA29=15,J29,0)</f>
        <v>0</v>
      </c>
      <c r="Y29" s="9">
        <f>IF(AA29=21,J29,0)</f>
        <v>0</v>
      </c>
      <c r="AA29" s="21">
        <v>21</v>
      </c>
      <c r="AB29" s="21">
        <f>G29*0</f>
        <v>0</v>
      </c>
      <c r="AC29" s="21">
        <f>G29*(1-0)</f>
        <v>0</v>
      </c>
    </row>
    <row r="30" spans="1:36" x14ac:dyDescent="0.2">
      <c r="A30" s="24"/>
      <c r="B30" s="24"/>
      <c r="C30" s="24"/>
      <c r="D30" s="40" t="s">
        <v>440</v>
      </c>
      <c r="E30" s="35"/>
      <c r="F30" s="74">
        <f>3131*0.45</f>
        <v>1408.95</v>
      </c>
      <c r="G30" s="30"/>
      <c r="H30" s="9"/>
      <c r="I30" s="9"/>
      <c r="J30" s="9"/>
      <c r="K30" s="19"/>
      <c r="L30" s="9"/>
      <c r="W30" s="9"/>
      <c r="X30" s="9"/>
      <c r="Y30" s="9"/>
      <c r="AA30" s="21"/>
      <c r="AB30" s="21"/>
      <c r="AC30" s="21"/>
    </row>
    <row r="31" spans="1:36" x14ac:dyDescent="0.2">
      <c r="A31" s="24" t="s">
        <v>17</v>
      </c>
      <c r="B31" s="24"/>
      <c r="C31" s="24" t="s">
        <v>74</v>
      </c>
      <c r="D31" s="29" t="s">
        <v>120</v>
      </c>
      <c r="E31" s="35" t="s">
        <v>155</v>
      </c>
      <c r="F31" s="30">
        <f>+F29</f>
        <v>1408.95</v>
      </c>
      <c r="G31" s="30">
        <v>0</v>
      </c>
      <c r="H31" s="9">
        <f>ROUND(F31*AB31,2)</f>
        <v>0</v>
      </c>
      <c r="I31" s="9">
        <f>J31-H31</f>
        <v>0</v>
      </c>
      <c r="J31" s="9">
        <f>ROUND(F31*G31,2)</f>
        <v>0</v>
      </c>
      <c r="K31" s="19" t="s">
        <v>7</v>
      </c>
      <c r="L31" s="9">
        <f>IF(K31="5",I31,0)</f>
        <v>0</v>
      </c>
      <c r="W31" s="9">
        <f>IF(AA31=0,J31,0)</f>
        <v>0</v>
      </c>
      <c r="X31" s="9">
        <f>IF(AA31=15,J31,0)</f>
        <v>0</v>
      </c>
      <c r="Y31" s="9">
        <f>IF(AA31=21,J31,0)</f>
        <v>0</v>
      </c>
      <c r="AA31" s="21">
        <v>21</v>
      </c>
      <c r="AB31" s="21">
        <f>G31*0</f>
        <v>0</v>
      </c>
      <c r="AC31" s="21">
        <f>G31*(1-0)</f>
        <v>0</v>
      </c>
    </row>
    <row r="32" spans="1:36" x14ac:dyDescent="0.2">
      <c r="A32" s="24"/>
      <c r="B32" s="24"/>
      <c r="C32" s="24"/>
      <c r="D32" s="40" t="s">
        <v>440</v>
      </c>
      <c r="E32" s="35"/>
      <c r="F32" s="40">
        <f>+F30</f>
        <v>1408.95</v>
      </c>
      <c r="G32" s="30"/>
      <c r="H32" s="9"/>
      <c r="I32" s="9"/>
      <c r="J32" s="9"/>
      <c r="K32" s="19"/>
      <c r="L32" s="9"/>
      <c r="W32" s="9"/>
      <c r="X32" s="9"/>
      <c r="Y32" s="9"/>
      <c r="AA32" s="21"/>
      <c r="AB32" s="21"/>
      <c r="AC32" s="21"/>
    </row>
    <row r="33" spans="1:34" x14ac:dyDescent="0.2">
      <c r="A33" s="25"/>
      <c r="B33" s="25"/>
      <c r="C33" s="26" t="s">
        <v>19</v>
      </c>
      <c r="D33" s="162" t="s">
        <v>121</v>
      </c>
      <c r="E33" s="175"/>
      <c r="F33" s="175"/>
      <c r="G33" s="175"/>
      <c r="H33" s="22">
        <f>SUM(H34:H59)</f>
        <v>0</v>
      </c>
      <c r="I33" s="22">
        <f>SUM(I34:I59)</f>
        <v>0</v>
      </c>
      <c r="J33" s="22">
        <f>H33+I33</f>
        <v>0</v>
      </c>
      <c r="M33" s="22">
        <f>IF(N33="PR",J33,SUM(L34:L44))</f>
        <v>0</v>
      </c>
      <c r="N33" s="16" t="s">
        <v>180</v>
      </c>
      <c r="O33" s="22">
        <f>IF(N33="HS",H33,0)</f>
        <v>0</v>
      </c>
      <c r="P33" s="22">
        <f>IF(N33="HS",I33-M33,0)</f>
        <v>0</v>
      </c>
      <c r="Q33" s="22">
        <f>IF(N33="PS",H33,0)</f>
        <v>0</v>
      </c>
      <c r="R33" s="22">
        <f>IF(N33="PS",I33-M33,0)</f>
        <v>0</v>
      </c>
      <c r="S33" s="22">
        <f>IF(N33="MP",H33,0)</f>
        <v>0</v>
      </c>
      <c r="T33" s="22">
        <f>IF(N33="MP",I33-M33,0)</f>
        <v>0</v>
      </c>
      <c r="U33" s="22">
        <f>IF(N33="OM",H33,0)</f>
        <v>0</v>
      </c>
      <c r="V33" s="16" t="s">
        <v>68</v>
      </c>
      <c r="AF33" s="22">
        <f>SUM(W34:W44)</f>
        <v>0</v>
      </c>
      <c r="AG33" s="22">
        <f>SUM(X34:X44)</f>
        <v>0</v>
      </c>
      <c r="AH33" s="22">
        <f>SUM(Y34:Y44)</f>
        <v>0</v>
      </c>
    </row>
    <row r="34" spans="1:34" x14ac:dyDescent="0.2">
      <c r="A34" s="24" t="s">
        <v>18</v>
      </c>
      <c r="B34" s="24"/>
      <c r="C34" s="24" t="s">
        <v>77</v>
      </c>
      <c r="D34" s="29" t="s">
        <v>123</v>
      </c>
      <c r="E34" s="35" t="s">
        <v>155</v>
      </c>
      <c r="F34" s="30">
        <f>SUM(F35:F43)</f>
        <v>138.70600000000002</v>
      </c>
      <c r="G34" s="30">
        <v>0</v>
      </c>
      <c r="H34" s="9">
        <f>ROUND(F34*AB34,2)</f>
        <v>0</v>
      </c>
      <c r="I34" s="9">
        <f>J34-H34</f>
        <v>0</v>
      </c>
      <c r="J34" s="9">
        <f>ROUND(F34*G34,2)</f>
        <v>0</v>
      </c>
      <c r="K34" s="19" t="s">
        <v>7</v>
      </c>
      <c r="L34" s="9">
        <f>IF(K34="5",I34,0)</f>
        <v>0</v>
      </c>
      <c r="W34" s="9">
        <f>IF(AA34=0,J34,0)</f>
        <v>0</v>
      </c>
      <c r="X34" s="9">
        <f>IF(AA34=15,J34,0)</f>
        <v>0</v>
      </c>
      <c r="Y34" s="9">
        <f>IF(AA34=21,J34,0)</f>
        <v>0</v>
      </c>
      <c r="AA34" s="21">
        <v>21</v>
      </c>
      <c r="AB34" s="21">
        <f>G34*0</f>
        <v>0</v>
      </c>
      <c r="AC34" s="21">
        <f>G34*(1-0)</f>
        <v>0</v>
      </c>
    </row>
    <row r="35" spans="1:34" x14ac:dyDescent="0.2">
      <c r="A35" s="24"/>
      <c r="B35" s="24"/>
      <c r="C35" s="24"/>
      <c r="D35" s="40" t="s">
        <v>309</v>
      </c>
      <c r="E35" s="35"/>
      <c r="F35" s="74">
        <f>(0.6*0.6*1)*111</f>
        <v>39.96</v>
      </c>
      <c r="G35" s="30"/>
      <c r="H35" s="9"/>
      <c r="I35" s="9"/>
      <c r="J35" s="9"/>
      <c r="K35" s="19"/>
      <c r="L35" s="9"/>
      <c r="W35" s="9"/>
      <c r="X35" s="9"/>
      <c r="Y35" s="9"/>
      <c r="AA35" s="21"/>
      <c r="AB35" s="21"/>
      <c r="AC35" s="21"/>
    </row>
    <row r="36" spans="1:34" x14ac:dyDescent="0.2">
      <c r="A36" s="24"/>
      <c r="B36" s="24"/>
      <c r="C36" s="24"/>
      <c r="D36" s="40" t="s">
        <v>345</v>
      </c>
      <c r="E36" s="35"/>
      <c r="F36" s="74">
        <f>(1*1*1)*4</f>
        <v>4</v>
      </c>
      <c r="G36" s="30"/>
      <c r="H36" s="9"/>
      <c r="I36" s="9"/>
      <c r="J36" s="9"/>
      <c r="K36" s="19"/>
      <c r="L36" s="9"/>
      <c r="W36" s="9"/>
      <c r="X36" s="9"/>
      <c r="Y36" s="9"/>
      <c r="AA36" s="21"/>
      <c r="AB36" s="21"/>
      <c r="AC36" s="21"/>
    </row>
    <row r="37" spans="1:34" x14ac:dyDescent="0.2">
      <c r="A37" s="24"/>
      <c r="B37" s="24"/>
      <c r="C37" s="24"/>
      <c r="D37" s="40" t="s">
        <v>310</v>
      </c>
      <c r="E37" s="35"/>
      <c r="F37" s="74">
        <f>(0.6*0.6*1)*13</f>
        <v>4.68</v>
      </c>
      <c r="G37" s="30"/>
      <c r="H37" s="9"/>
      <c r="I37" s="9"/>
      <c r="J37" s="9"/>
      <c r="K37" s="19"/>
      <c r="L37" s="9"/>
      <c r="W37" s="9"/>
      <c r="X37" s="9"/>
      <c r="Y37" s="9"/>
      <c r="AA37" s="21"/>
      <c r="AB37" s="21"/>
      <c r="AC37" s="21"/>
    </row>
    <row r="38" spans="1:34" x14ac:dyDescent="0.2">
      <c r="A38" s="24"/>
      <c r="B38" s="24"/>
      <c r="C38" s="24"/>
      <c r="D38" s="40" t="s">
        <v>311</v>
      </c>
      <c r="E38" s="35"/>
      <c r="F38" s="74">
        <f>(0.6*0.6*0.8)*34</f>
        <v>9.7919999999999998</v>
      </c>
      <c r="G38" s="30"/>
      <c r="H38" s="9"/>
      <c r="I38" s="9"/>
      <c r="J38" s="9"/>
      <c r="K38" s="19"/>
      <c r="L38" s="9"/>
      <c r="W38" s="9"/>
      <c r="X38" s="9"/>
      <c r="Y38" s="9"/>
      <c r="AA38" s="21"/>
      <c r="AB38" s="21"/>
      <c r="AC38" s="21"/>
    </row>
    <row r="39" spans="1:34" x14ac:dyDescent="0.2">
      <c r="A39" s="24"/>
      <c r="B39" s="24"/>
      <c r="C39" s="24"/>
      <c r="D39" s="40" t="s">
        <v>353</v>
      </c>
      <c r="E39" s="35"/>
      <c r="F39" s="74">
        <f>(0.4*0.4*0.8)*3</f>
        <v>0.38400000000000012</v>
      </c>
      <c r="G39" s="30"/>
      <c r="H39" s="9"/>
      <c r="I39" s="9"/>
      <c r="J39" s="9"/>
      <c r="K39" s="19"/>
      <c r="L39" s="9"/>
      <c r="W39" s="9"/>
      <c r="X39" s="9"/>
      <c r="Y39" s="9"/>
      <c r="AA39" s="21"/>
      <c r="AB39" s="21"/>
      <c r="AC39" s="21"/>
    </row>
    <row r="40" spans="1:34" x14ac:dyDescent="0.2">
      <c r="A40" s="24"/>
      <c r="B40" s="24"/>
      <c r="C40" s="24"/>
      <c r="D40" s="40" t="s">
        <v>313</v>
      </c>
      <c r="E40" s="35"/>
      <c r="F40" s="74">
        <f>(0.5*0.5*0.9)*8</f>
        <v>1.8</v>
      </c>
      <c r="G40" s="30"/>
      <c r="H40" s="9"/>
      <c r="I40" s="9"/>
      <c r="J40" s="9"/>
      <c r="K40" s="19"/>
      <c r="L40" s="9"/>
      <c r="W40" s="9"/>
      <c r="X40" s="9"/>
      <c r="Y40" s="9"/>
      <c r="AA40" s="21"/>
      <c r="AB40" s="21"/>
      <c r="AC40" s="21"/>
    </row>
    <row r="41" spans="1:34" x14ac:dyDescent="0.2">
      <c r="A41" s="24"/>
      <c r="B41" s="24"/>
      <c r="C41" s="24"/>
      <c r="D41" s="40" t="s">
        <v>314</v>
      </c>
      <c r="E41" s="35"/>
      <c r="F41" s="74">
        <f>(0.5*0.5*0.9)*4</f>
        <v>0.9</v>
      </c>
      <c r="G41" s="30"/>
      <c r="H41" s="9"/>
      <c r="I41" s="9"/>
      <c r="J41" s="9"/>
      <c r="K41" s="19"/>
      <c r="L41" s="9"/>
      <c r="W41" s="9"/>
      <c r="X41" s="9"/>
      <c r="Y41" s="9"/>
      <c r="AA41" s="21"/>
      <c r="AB41" s="21"/>
      <c r="AC41" s="21"/>
    </row>
    <row r="42" spans="1:34" x14ac:dyDescent="0.2">
      <c r="A42" s="24"/>
      <c r="B42" s="24"/>
      <c r="C42" s="24"/>
      <c r="D42" s="40" t="s">
        <v>316</v>
      </c>
      <c r="E42" s="35"/>
      <c r="F42" s="74">
        <v>5.19</v>
      </c>
      <c r="G42" s="30"/>
      <c r="H42" s="9"/>
      <c r="I42" s="9"/>
      <c r="J42" s="9"/>
      <c r="K42" s="19"/>
      <c r="L42" s="9"/>
      <c r="W42" s="9"/>
      <c r="X42" s="9"/>
      <c r="Y42" s="9"/>
      <c r="AA42" s="21"/>
      <c r="AB42" s="21"/>
      <c r="AC42" s="21"/>
    </row>
    <row r="43" spans="1:34" x14ac:dyDescent="0.2">
      <c r="A43" s="24"/>
      <c r="B43" s="24"/>
      <c r="C43" s="24"/>
      <c r="D43" s="40" t="s">
        <v>338</v>
      </c>
      <c r="F43" s="74">
        <f>72</f>
        <v>72</v>
      </c>
      <c r="G43" s="30"/>
      <c r="H43" s="9"/>
      <c r="I43" s="9"/>
      <c r="J43" s="9"/>
      <c r="K43" s="19"/>
      <c r="L43" s="9"/>
      <c r="W43" s="9"/>
      <c r="X43" s="9"/>
      <c r="Y43" s="9"/>
      <c r="AA43" s="21"/>
      <c r="AB43" s="21"/>
      <c r="AC43" s="21"/>
    </row>
    <row r="44" spans="1:34" x14ac:dyDescent="0.2">
      <c r="A44" s="24" t="s">
        <v>19</v>
      </c>
      <c r="B44" s="24"/>
      <c r="C44" s="24" t="s">
        <v>78</v>
      </c>
      <c r="D44" s="29" t="s">
        <v>124</v>
      </c>
      <c r="E44" s="35" t="s">
        <v>155</v>
      </c>
      <c r="F44" s="30">
        <f>+F34</f>
        <v>138.70600000000002</v>
      </c>
      <c r="G44" s="30">
        <v>0</v>
      </c>
      <c r="H44" s="9">
        <f>ROUND(F44*AB44,2)</f>
        <v>0</v>
      </c>
      <c r="I44" s="9">
        <f>J44-H44</f>
        <v>0</v>
      </c>
      <c r="J44" s="9">
        <f>ROUND(F44*G44,2)</f>
        <v>0</v>
      </c>
      <c r="K44" s="19" t="s">
        <v>7</v>
      </c>
      <c r="L44" s="9">
        <f>IF(K44="5",I44,0)</f>
        <v>0</v>
      </c>
      <c r="W44" s="9">
        <f>IF(AA44=0,J44,0)</f>
        <v>0</v>
      </c>
      <c r="X44" s="9">
        <f>IF(AA44=15,J44,0)</f>
        <v>0</v>
      </c>
      <c r="Y44" s="9">
        <f>IF(AA44=21,J44,0)</f>
        <v>0</v>
      </c>
      <c r="AA44" s="21">
        <v>21</v>
      </c>
      <c r="AB44" s="21">
        <f>G44*0</f>
        <v>0</v>
      </c>
      <c r="AC44" s="21">
        <f>G44*(1-0)</f>
        <v>0</v>
      </c>
    </row>
    <row r="45" spans="1:34" x14ac:dyDescent="0.2">
      <c r="A45" s="24"/>
      <c r="B45" s="24"/>
      <c r="C45" s="24"/>
      <c r="D45" s="40" t="s">
        <v>309</v>
      </c>
      <c r="E45" s="35"/>
      <c r="F45" s="74">
        <f>(0.6*0.6*1)*111</f>
        <v>39.96</v>
      </c>
      <c r="G45" s="30"/>
      <c r="H45" s="9"/>
      <c r="I45" s="9"/>
      <c r="J45" s="9"/>
      <c r="K45" s="19"/>
      <c r="L45" s="9"/>
      <c r="W45" s="9"/>
      <c r="X45" s="9"/>
      <c r="Y45" s="9"/>
      <c r="AA45" s="21"/>
      <c r="AB45" s="21"/>
      <c r="AC45" s="21"/>
    </row>
    <row r="46" spans="1:34" x14ac:dyDescent="0.2">
      <c r="A46" s="24"/>
      <c r="B46" s="24"/>
      <c r="C46" s="24"/>
      <c r="D46" s="40" t="s">
        <v>345</v>
      </c>
      <c r="E46" s="35"/>
      <c r="F46" s="74">
        <f>(1*1*1)*4</f>
        <v>4</v>
      </c>
      <c r="G46" s="30"/>
      <c r="H46" s="9"/>
      <c r="I46" s="9"/>
      <c r="J46" s="9"/>
      <c r="K46" s="19"/>
      <c r="L46" s="9"/>
      <c r="W46" s="9"/>
      <c r="X46" s="9"/>
      <c r="Y46" s="9"/>
      <c r="AA46" s="21"/>
      <c r="AB46" s="21"/>
      <c r="AC46" s="21"/>
    </row>
    <row r="47" spans="1:34" x14ac:dyDescent="0.2">
      <c r="A47" s="24"/>
      <c r="B47" s="24"/>
      <c r="C47" s="24"/>
      <c r="D47" s="40" t="s">
        <v>310</v>
      </c>
      <c r="E47" s="35"/>
      <c r="F47" s="74">
        <f>(0.6*0.6*1)*13</f>
        <v>4.68</v>
      </c>
      <c r="G47" s="30"/>
      <c r="H47" s="9"/>
      <c r="I47" s="9"/>
      <c r="J47" s="9"/>
      <c r="K47" s="19"/>
      <c r="L47" s="9"/>
      <c r="W47" s="9"/>
      <c r="X47" s="9"/>
      <c r="Y47" s="9"/>
      <c r="AA47" s="21"/>
      <c r="AB47" s="21"/>
      <c r="AC47" s="21"/>
    </row>
    <row r="48" spans="1:34" x14ac:dyDescent="0.2">
      <c r="A48" s="24"/>
      <c r="B48" s="24"/>
      <c r="C48" s="24"/>
      <c r="D48" s="40" t="s">
        <v>311</v>
      </c>
      <c r="E48" s="35"/>
      <c r="F48" s="74">
        <f>(0.6*0.6*0.8)*34</f>
        <v>9.7919999999999998</v>
      </c>
      <c r="G48" s="30"/>
      <c r="H48" s="9"/>
      <c r="I48" s="9"/>
      <c r="J48" s="9"/>
      <c r="K48" s="19"/>
      <c r="L48" s="9"/>
      <c r="W48" s="9"/>
      <c r="X48" s="9"/>
      <c r="Y48" s="9"/>
      <c r="AA48" s="21"/>
      <c r="AB48" s="21"/>
      <c r="AC48" s="21"/>
    </row>
    <row r="49" spans="1:34" x14ac:dyDescent="0.2">
      <c r="A49" s="24"/>
      <c r="B49" s="24"/>
      <c r="C49" s="24"/>
      <c r="D49" s="40" t="s">
        <v>353</v>
      </c>
      <c r="E49" s="35"/>
      <c r="F49" s="74">
        <f>(0.4*0.4*0.8)*3</f>
        <v>0.38400000000000012</v>
      </c>
      <c r="G49" s="30"/>
      <c r="H49" s="9"/>
      <c r="I49" s="9"/>
      <c r="J49" s="9"/>
      <c r="K49" s="19"/>
      <c r="L49" s="9"/>
      <c r="W49" s="9"/>
      <c r="X49" s="9"/>
      <c r="Y49" s="9"/>
      <c r="AA49" s="21"/>
      <c r="AB49" s="21"/>
      <c r="AC49" s="21"/>
    </row>
    <row r="50" spans="1:34" x14ac:dyDescent="0.2">
      <c r="A50" s="24"/>
      <c r="B50" s="24"/>
      <c r="C50" s="24"/>
      <c r="D50" s="40" t="s">
        <v>313</v>
      </c>
      <c r="E50" s="35"/>
      <c r="F50" s="74">
        <f>(0.5*0.5*0.9)*8</f>
        <v>1.8</v>
      </c>
      <c r="G50" s="30"/>
      <c r="H50" s="9"/>
      <c r="I50" s="9"/>
      <c r="J50" s="9"/>
      <c r="K50" s="19"/>
      <c r="L50" s="9"/>
      <c r="W50" s="9"/>
      <c r="X50" s="9"/>
      <c r="Y50" s="9"/>
      <c r="AA50" s="21"/>
      <c r="AB50" s="21"/>
      <c r="AC50" s="21"/>
    </row>
    <row r="51" spans="1:34" x14ac:dyDescent="0.2">
      <c r="A51" s="24"/>
      <c r="B51" s="24"/>
      <c r="C51" s="24"/>
      <c r="D51" s="40" t="s">
        <v>314</v>
      </c>
      <c r="E51" s="35"/>
      <c r="F51" s="74">
        <f>(0.5*0.5*0.9)*4</f>
        <v>0.9</v>
      </c>
      <c r="G51" s="30"/>
      <c r="H51" s="9"/>
      <c r="I51" s="9"/>
      <c r="J51" s="9"/>
      <c r="K51" s="19"/>
      <c r="L51" s="9"/>
      <c r="W51" s="9"/>
      <c r="X51" s="9"/>
      <c r="Y51" s="9"/>
      <c r="AA51" s="21"/>
      <c r="AB51" s="21"/>
      <c r="AC51" s="21"/>
    </row>
    <row r="52" spans="1:34" x14ac:dyDescent="0.2">
      <c r="A52" s="24"/>
      <c r="B52" s="24"/>
      <c r="C52" s="24"/>
      <c r="D52" s="40" t="s">
        <v>316</v>
      </c>
      <c r="E52" s="35"/>
      <c r="F52" s="74">
        <v>5.19</v>
      </c>
      <c r="G52" s="30"/>
      <c r="H52" s="9"/>
      <c r="I52" s="9"/>
      <c r="J52" s="9"/>
      <c r="K52" s="19"/>
      <c r="L52" s="9"/>
      <c r="W52" s="9"/>
      <c r="X52" s="9"/>
      <c r="Y52" s="9"/>
      <c r="AA52" s="21"/>
      <c r="AB52" s="21"/>
      <c r="AC52" s="21"/>
    </row>
    <row r="53" spans="1:34" x14ac:dyDescent="0.2">
      <c r="A53" s="24"/>
      <c r="B53" s="24"/>
      <c r="C53" s="24"/>
      <c r="D53" s="40" t="s">
        <v>338</v>
      </c>
      <c r="F53" s="74">
        <f>72</f>
        <v>72</v>
      </c>
      <c r="G53" s="30"/>
      <c r="H53" s="9"/>
      <c r="I53" s="9"/>
      <c r="J53" s="9"/>
      <c r="K53" s="19"/>
      <c r="L53" s="9"/>
      <c r="W53" s="9"/>
      <c r="X53" s="9"/>
      <c r="Y53" s="9"/>
      <c r="AA53" s="21"/>
      <c r="AB53" s="21"/>
      <c r="AC53" s="21"/>
    </row>
    <row r="54" spans="1:34" ht="25.5" x14ac:dyDescent="0.2">
      <c r="A54" s="24" t="s">
        <v>20</v>
      </c>
      <c r="B54" s="24"/>
      <c r="C54" s="24" t="s">
        <v>75</v>
      </c>
      <c r="D54" s="91" t="s">
        <v>216</v>
      </c>
      <c r="E54" s="35" t="s">
        <v>155</v>
      </c>
      <c r="F54" s="30">
        <f>+F56</f>
        <v>154.08000000000001</v>
      </c>
      <c r="G54" s="30">
        <v>0</v>
      </c>
      <c r="H54" s="9">
        <f>ROUND(F54*AB53,2)</f>
        <v>0</v>
      </c>
      <c r="I54" s="9">
        <f>J54-H54</f>
        <v>0</v>
      </c>
      <c r="J54" s="9">
        <f>ROUND(F54*G54,2)</f>
        <v>0</v>
      </c>
      <c r="K54" s="19"/>
      <c r="L54" s="9"/>
      <c r="W54" s="9"/>
      <c r="X54" s="9"/>
      <c r="Y54" s="9"/>
      <c r="AA54" s="21"/>
      <c r="AB54" s="21"/>
      <c r="AC54" s="21"/>
    </row>
    <row r="55" spans="1:34" x14ac:dyDescent="0.2">
      <c r="A55" s="24"/>
      <c r="B55" s="24"/>
      <c r="C55" s="24"/>
      <c r="D55" s="40" t="s">
        <v>336</v>
      </c>
      <c r="F55" s="74">
        <f>80*0.6*0.6</f>
        <v>28.799999999999997</v>
      </c>
      <c r="G55" s="30"/>
      <c r="H55" s="9"/>
      <c r="I55" s="9"/>
      <c r="J55" s="9"/>
      <c r="K55" s="19"/>
      <c r="L55" s="9"/>
      <c r="W55" s="9"/>
      <c r="X55" s="9"/>
      <c r="Y55" s="9"/>
      <c r="AA55" s="21"/>
      <c r="AB55" s="21"/>
      <c r="AC55" s="21"/>
    </row>
    <row r="56" spans="1:34" x14ac:dyDescent="0.2">
      <c r="A56" s="27"/>
      <c r="B56" s="27"/>
      <c r="C56" s="27"/>
      <c r="D56" s="40" t="s">
        <v>337</v>
      </c>
      <c r="F56" s="74">
        <f>856*0.3*0.6</f>
        <v>154.08000000000001</v>
      </c>
      <c r="G56" s="31"/>
      <c r="K56" s="19"/>
      <c r="L56" s="9"/>
      <c r="W56" s="9"/>
      <c r="X56" s="9"/>
      <c r="Y56" s="9"/>
      <c r="AA56" s="21"/>
      <c r="AB56" s="21"/>
      <c r="AC56" s="21"/>
    </row>
    <row r="57" spans="1:34" x14ac:dyDescent="0.2">
      <c r="A57" s="24" t="s">
        <v>21</v>
      </c>
      <c r="B57" s="24"/>
      <c r="C57" s="24" t="s">
        <v>76</v>
      </c>
      <c r="D57" s="29" t="s">
        <v>122</v>
      </c>
      <c r="E57" s="35" t="s">
        <v>155</v>
      </c>
      <c r="F57" s="30">
        <f>+F59</f>
        <v>154.08000000000001</v>
      </c>
      <c r="G57" s="30">
        <v>0</v>
      </c>
      <c r="H57" s="9">
        <f>ROUND(F57*AB56,2)</f>
        <v>0</v>
      </c>
      <c r="I57" s="9">
        <f>J57-H57</f>
        <v>0</v>
      </c>
      <c r="J57" s="9">
        <f>ROUND(F57*G57,2)</f>
        <v>0</v>
      </c>
      <c r="K57" s="19"/>
      <c r="L57" s="9"/>
      <c r="W57" s="9"/>
      <c r="X57" s="9"/>
      <c r="Y57" s="9"/>
      <c r="AA57" s="21"/>
      <c r="AB57" s="21"/>
      <c r="AC57" s="21"/>
    </row>
    <row r="58" spans="1:34" x14ac:dyDescent="0.2">
      <c r="A58" s="24"/>
      <c r="B58" s="24"/>
      <c r="C58" s="24"/>
      <c r="D58" s="40" t="s">
        <v>336</v>
      </c>
      <c r="F58" s="74">
        <f>80*0.6*0.6</f>
        <v>28.799999999999997</v>
      </c>
      <c r="G58" s="30"/>
      <c r="H58" s="9"/>
      <c r="I58" s="9"/>
      <c r="J58" s="9"/>
      <c r="K58" s="19"/>
      <c r="L58" s="9"/>
      <c r="W58" s="9"/>
      <c r="X58" s="9"/>
      <c r="Y58" s="9"/>
      <c r="AA58" s="21"/>
      <c r="AB58" s="21"/>
      <c r="AC58" s="21"/>
    </row>
    <row r="59" spans="1:34" x14ac:dyDescent="0.2">
      <c r="A59" s="24"/>
      <c r="B59" s="24"/>
      <c r="C59" s="24"/>
      <c r="D59" s="40" t="s">
        <v>337</v>
      </c>
      <c r="F59" s="74">
        <f>856*0.3*0.6</f>
        <v>154.08000000000001</v>
      </c>
      <c r="G59" s="30"/>
      <c r="H59" s="9"/>
      <c r="I59" s="9"/>
      <c r="J59" s="9"/>
      <c r="K59" s="19"/>
      <c r="L59" s="9"/>
      <c r="W59" s="9"/>
      <c r="X59" s="9"/>
      <c r="Y59" s="9"/>
      <c r="AA59" s="21"/>
      <c r="AB59" s="21"/>
      <c r="AC59" s="21"/>
    </row>
    <row r="60" spans="1:34" x14ac:dyDescent="0.2">
      <c r="A60" s="25"/>
      <c r="B60" s="25"/>
      <c r="C60" s="26" t="s">
        <v>22</v>
      </c>
      <c r="D60" s="162" t="s">
        <v>125</v>
      </c>
      <c r="E60" s="162"/>
      <c r="F60" s="162"/>
      <c r="G60" s="162"/>
      <c r="H60" s="22">
        <f>SUM(H61:H75)</f>
        <v>0</v>
      </c>
      <c r="I60" s="22">
        <f>SUM(I61:I75)</f>
        <v>0</v>
      </c>
      <c r="J60" s="22">
        <f>H60+I60</f>
        <v>0</v>
      </c>
      <c r="M60" s="22">
        <f>IF(N60="PR",J60,SUM(L61:L65))</f>
        <v>0</v>
      </c>
      <c r="N60" s="16" t="s">
        <v>180</v>
      </c>
      <c r="O60" s="22">
        <f>IF(N60="HS",H60,0)</f>
        <v>0</v>
      </c>
      <c r="P60" s="22">
        <f>IF(N60="HS",I60-M60,0)</f>
        <v>0</v>
      </c>
      <c r="Q60" s="22">
        <f>IF(N60="PS",H60,0)</f>
        <v>0</v>
      </c>
      <c r="R60" s="22">
        <f>IF(N60="PS",I60-M60,0)</f>
        <v>0</v>
      </c>
      <c r="S60" s="22">
        <f>IF(N60="MP",H60,0)</f>
        <v>0</v>
      </c>
      <c r="T60" s="22">
        <f>IF(N60="MP",I60-M60,0)</f>
        <v>0</v>
      </c>
      <c r="U60" s="22">
        <f>IF(N60="OM",H60,0)</f>
        <v>0</v>
      </c>
      <c r="V60" s="16" t="s">
        <v>68</v>
      </c>
      <c r="AF60" s="22">
        <f>SUM(W61:W65)</f>
        <v>0</v>
      </c>
      <c r="AG60" s="22">
        <f>SUM(X61:X65)</f>
        <v>0</v>
      </c>
      <c r="AH60" s="22">
        <f>SUM(Y61:Y65)</f>
        <v>0</v>
      </c>
    </row>
    <row r="61" spans="1:34" x14ac:dyDescent="0.2">
      <c r="A61" s="24" t="s">
        <v>22</v>
      </c>
      <c r="B61" s="24"/>
      <c r="C61" s="24" t="s">
        <v>79</v>
      </c>
      <c r="D61" s="29" t="s">
        <v>126</v>
      </c>
      <c r="E61" s="35" t="s">
        <v>155</v>
      </c>
      <c r="F61" s="30">
        <f>+F62</f>
        <v>1703</v>
      </c>
      <c r="G61" s="30">
        <v>0</v>
      </c>
      <c r="H61" s="9">
        <f>ROUND(F61*AB61,2)</f>
        <v>0</v>
      </c>
      <c r="I61" s="9">
        <f>J61-H61</f>
        <v>0</v>
      </c>
      <c r="J61" s="9">
        <f>ROUND(F61*G61,2)</f>
        <v>0</v>
      </c>
      <c r="K61" s="19" t="s">
        <v>7</v>
      </c>
      <c r="L61" s="9">
        <f>IF(K61="5",I61,0)</f>
        <v>0</v>
      </c>
      <c r="W61" s="9">
        <f>IF(AA61=0,J61,0)</f>
        <v>0</v>
      </c>
      <c r="X61" s="9">
        <f>IF(AA61=15,J61,0)</f>
        <v>0</v>
      </c>
      <c r="Y61" s="9">
        <f>IF(AA61=21,J61,0)</f>
        <v>0</v>
      </c>
      <c r="AA61" s="21">
        <v>21</v>
      </c>
      <c r="AB61" s="21">
        <f>G61*0</f>
        <v>0</v>
      </c>
      <c r="AC61" s="21">
        <f>G61*(1-0)</f>
        <v>0</v>
      </c>
    </row>
    <row r="62" spans="1:34" x14ac:dyDescent="0.2">
      <c r="A62" s="24"/>
      <c r="B62" s="24"/>
      <c r="C62" s="24"/>
      <c r="D62" s="40" t="s">
        <v>441</v>
      </c>
      <c r="E62" s="35"/>
      <c r="F62" s="74">
        <f>1409+139+155</f>
        <v>1703</v>
      </c>
      <c r="G62" s="30"/>
      <c r="H62" s="9"/>
      <c r="I62" s="9"/>
      <c r="J62" s="9"/>
      <c r="K62" s="19"/>
      <c r="L62" s="9"/>
      <c r="W62" s="9"/>
      <c r="X62" s="9"/>
      <c r="Y62" s="9"/>
      <c r="AA62" s="21"/>
      <c r="AB62" s="21"/>
      <c r="AC62" s="21"/>
    </row>
    <row r="63" spans="1:34" x14ac:dyDescent="0.2">
      <c r="A63" s="24" t="s">
        <v>23</v>
      </c>
      <c r="B63" s="24"/>
      <c r="C63" s="24" t="s">
        <v>80</v>
      </c>
      <c r="D63" s="29" t="s">
        <v>298</v>
      </c>
      <c r="E63" s="35" t="s">
        <v>155</v>
      </c>
      <c r="F63" s="30">
        <f>+F64</f>
        <v>1703</v>
      </c>
      <c r="G63" s="30">
        <v>0</v>
      </c>
      <c r="H63" s="9">
        <f>ROUND(F63*AB63,2)</f>
        <v>0</v>
      </c>
      <c r="I63" s="9">
        <f>J63-H63</f>
        <v>0</v>
      </c>
      <c r="J63" s="9">
        <f>ROUND(F63*G63,2)</f>
        <v>0</v>
      </c>
      <c r="K63" s="19" t="s">
        <v>7</v>
      </c>
      <c r="L63" s="9">
        <f>IF(K63="5",I63,0)</f>
        <v>0</v>
      </c>
      <c r="W63" s="9">
        <f>IF(AA63=0,J63,0)</f>
        <v>0</v>
      </c>
      <c r="X63" s="9">
        <f>IF(AA63=15,J63,0)</f>
        <v>0</v>
      </c>
      <c r="Y63" s="9">
        <f>IF(AA63=21,J63,0)</f>
        <v>0</v>
      </c>
      <c r="AA63" s="21">
        <v>21</v>
      </c>
      <c r="AB63" s="21">
        <f>G63*0</f>
        <v>0</v>
      </c>
      <c r="AC63" s="21">
        <f>G63*(1-0)</f>
        <v>0</v>
      </c>
    </row>
    <row r="64" spans="1:34" x14ac:dyDescent="0.2">
      <c r="A64" s="24"/>
      <c r="B64" s="24"/>
      <c r="C64" s="24"/>
      <c r="D64" s="40" t="s">
        <v>441</v>
      </c>
      <c r="E64" s="35"/>
      <c r="F64" s="74">
        <f>1409+139+155</f>
        <v>1703</v>
      </c>
      <c r="G64" s="30"/>
      <c r="H64" s="9"/>
      <c r="I64" s="9"/>
      <c r="J64" s="9"/>
      <c r="K64" s="19"/>
      <c r="L64" s="9"/>
      <c r="W64" s="9"/>
      <c r="X64" s="9"/>
      <c r="Y64" s="9"/>
      <c r="AA64" s="21"/>
      <c r="AB64" s="21"/>
      <c r="AC64" s="21"/>
    </row>
    <row r="65" spans="1:29" x14ac:dyDescent="0.2">
      <c r="A65" s="24" t="s">
        <v>24</v>
      </c>
      <c r="B65" s="24"/>
      <c r="C65" s="24" t="s">
        <v>81</v>
      </c>
      <c r="D65" s="91" t="s">
        <v>127</v>
      </c>
      <c r="E65" s="35" t="s">
        <v>155</v>
      </c>
      <c r="F65" s="30">
        <f>F66</f>
        <v>17030</v>
      </c>
      <c r="G65" s="30">
        <v>0</v>
      </c>
      <c r="H65" s="9">
        <f>ROUND(F65*AB65,2)</f>
        <v>0</v>
      </c>
      <c r="I65" s="9">
        <f>J65-H65</f>
        <v>0</v>
      </c>
      <c r="J65" s="9">
        <f>ROUND(F65*G65,2)</f>
        <v>0</v>
      </c>
      <c r="K65" s="19" t="s">
        <v>7</v>
      </c>
      <c r="L65" s="9">
        <f>IF(K65="5",I65,0)</f>
        <v>0</v>
      </c>
      <c r="W65" s="9">
        <f>IF(AA65=0,J65,0)</f>
        <v>0</v>
      </c>
      <c r="X65" s="9">
        <f>IF(AA65=15,J65,0)</f>
        <v>0</v>
      </c>
      <c r="Y65" s="9">
        <f>IF(AA65=21,J65,0)</f>
        <v>0</v>
      </c>
      <c r="AA65" s="21">
        <v>21</v>
      </c>
      <c r="AB65" s="21">
        <f>G65*0</f>
        <v>0</v>
      </c>
      <c r="AC65" s="21">
        <f>G65*(1-0)</f>
        <v>0</v>
      </c>
    </row>
    <row r="66" spans="1:29" x14ac:dyDescent="0.2">
      <c r="A66" s="24"/>
      <c r="B66" s="24"/>
      <c r="C66" s="24"/>
      <c r="D66" s="40" t="s">
        <v>442</v>
      </c>
      <c r="E66" s="35"/>
      <c r="F66" s="74">
        <f>F61*10</f>
        <v>17030</v>
      </c>
      <c r="G66" s="30"/>
      <c r="H66" s="9"/>
      <c r="I66" s="9"/>
      <c r="J66" s="9"/>
      <c r="K66" s="19"/>
      <c r="L66" s="9"/>
      <c r="W66" s="9"/>
      <c r="X66" s="9"/>
      <c r="Y66" s="9"/>
      <c r="AA66" s="21"/>
      <c r="AB66" s="21"/>
      <c r="AC66" s="21"/>
    </row>
    <row r="67" spans="1:29" s="87" customFormat="1" x14ac:dyDescent="0.2">
      <c r="A67" s="82" t="s">
        <v>412</v>
      </c>
      <c r="B67" s="82"/>
      <c r="C67" s="82" t="s">
        <v>461</v>
      </c>
      <c r="D67" s="83" t="s">
        <v>444</v>
      </c>
      <c r="E67" s="84" t="s">
        <v>157</v>
      </c>
      <c r="F67" s="85">
        <f>+F68</f>
        <v>193.20000000000002</v>
      </c>
      <c r="G67" s="85">
        <v>0</v>
      </c>
      <c r="H67" s="86">
        <f>ROUND(F67*AB67,2)</f>
        <v>0</v>
      </c>
      <c r="I67" s="86">
        <f>J67-H67</f>
        <v>0</v>
      </c>
      <c r="J67" s="86">
        <f>ROUND(F67*G67,2)</f>
        <v>0</v>
      </c>
      <c r="K67" s="90"/>
      <c r="L67" s="86"/>
      <c r="W67" s="86"/>
      <c r="X67" s="86"/>
      <c r="Y67" s="86"/>
      <c r="AA67" s="86"/>
      <c r="AB67" s="86"/>
      <c r="AC67" s="86"/>
    </row>
    <row r="68" spans="1:29" s="87" customFormat="1" x14ac:dyDescent="0.2">
      <c r="A68" s="82"/>
      <c r="B68" s="82"/>
      <c r="C68" s="82"/>
      <c r="D68" s="84" t="s">
        <v>481</v>
      </c>
      <c r="E68" s="84"/>
      <c r="F68" s="98">
        <f>(966*0.1)*2</f>
        <v>193.20000000000002</v>
      </c>
      <c r="G68" s="85"/>
      <c r="H68" s="86"/>
      <c r="I68" s="86"/>
      <c r="J68" s="86"/>
      <c r="K68" s="90"/>
      <c r="L68" s="86"/>
      <c r="W68" s="86"/>
      <c r="X68" s="86"/>
      <c r="Y68" s="86"/>
      <c r="AA68" s="86"/>
      <c r="AB68" s="86"/>
      <c r="AC68" s="86"/>
    </row>
    <row r="69" spans="1:29" s="87" customFormat="1" x14ac:dyDescent="0.2">
      <c r="A69" s="82" t="s">
        <v>25</v>
      </c>
      <c r="B69" s="82"/>
      <c r="C69" s="82" t="s">
        <v>463</v>
      </c>
      <c r="D69" s="83" t="s">
        <v>462</v>
      </c>
      <c r="E69" s="84" t="s">
        <v>157</v>
      </c>
      <c r="F69" s="85">
        <f>+F70</f>
        <v>193.20000000000002</v>
      </c>
      <c r="G69" s="85">
        <v>0</v>
      </c>
      <c r="H69" s="86">
        <f>ROUND(F69*AB69,2)</f>
        <v>0</v>
      </c>
      <c r="I69" s="86">
        <f>J69-H69</f>
        <v>0</v>
      </c>
      <c r="J69" s="86">
        <f>ROUND(F69*G69,2)</f>
        <v>0</v>
      </c>
      <c r="K69" s="90"/>
      <c r="L69" s="86"/>
      <c r="W69" s="86"/>
      <c r="X69" s="86"/>
      <c r="Y69" s="86"/>
      <c r="AA69" s="86"/>
      <c r="AB69" s="86"/>
      <c r="AC69" s="86"/>
    </row>
    <row r="70" spans="1:29" s="87" customFormat="1" x14ac:dyDescent="0.2">
      <c r="A70" s="82"/>
      <c r="B70" s="82"/>
      <c r="C70" s="82"/>
      <c r="D70" s="84" t="s">
        <v>481</v>
      </c>
      <c r="E70" s="84"/>
      <c r="F70" s="98">
        <f>(966*0.1)*2</f>
        <v>193.20000000000002</v>
      </c>
      <c r="G70" s="85"/>
      <c r="H70" s="86"/>
      <c r="I70" s="86"/>
      <c r="J70" s="86"/>
      <c r="K70" s="90"/>
      <c r="L70" s="86"/>
      <c r="W70" s="86"/>
      <c r="X70" s="86"/>
      <c r="Y70" s="86"/>
      <c r="AA70" s="86"/>
      <c r="AB70" s="86"/>
      <c r="AC70" s="86"/>
    </row>
    <row r="71" spans="1:29" s="87" customFormat="1" x14ac:dyDescent="0.2">
      <c r="A71" s="82" t="s">
        <v>26</v>
      </c>
      <c r="B71" s="82"/>
      <c r="C71" s="82" t="s">
        <v>464</v>
      </c>
      <c r="D71" s="83" t="s">
        <v>484</v>
      </c>
      <c r="E71" s="84" t="s">
        <v>157</v>
      </c>
      <c r="F71" s="85">
        <f>F72</f>
        <v>1932.0000000000002</v>
      </c>
      <c r="G71" s="85">
        <v>0</v>
      </c>
      <c r="H71" s="86">
        <f>ROUND(F71*AB71,2)</f>
        <v>0</v>
      </c>
      <c r="I71" s="86">
        <f>J71-H71</f>
        <v>0</v>
      </c>
      <c r="J71" s="86">
        <f>ROUND(F71*G71,2)</f>
        <v>0</v>
      </c>
      <c r="K71" s="90"/>
      <c r="L71" s="86"/>
      <c r="W71" s="86"/>
      <c r="X71" s="86"/>
      <c r="Y71" s="86"/>
      <c r="AA71" s="86"/>
      <c r="AB71" s="86"/>
      <c r="AC71" s="86"/>
    </row>
    <row r="72" spans="1:29" s="87" customFormat="1" x14ac:dyDescent="0.2">
      <c r="A72" s="82"/>
      <c r="B72" s="82"/>
      <c r="C72" s="82"/>
      <c r="D72" s="84" t="s">
        <v>485</v>
      </c>
      <c r="E72" s="84"/>
      <c r="F72" s="98">
        <f>((966*0.1)*2)*10</f>
        <v>1932.0000000000002</v>
      </c>
      <c r="G72" s="85"/>
      <c r="H72" s="86"/>
      <c r="I72" s="86"/>
      <c r="J72" s="86"/>
      <c r="K72" s="90"/>
      <c r="L72" s="86"/>
      <c r="W72" s="86"/>
      <c r="X72" s="86"/>
      <c r="Y72" s="86"/>
      <c r="AA72" s="86"/>
      <c r="AB72" s="86"/>
      <c r="AC72" s="86"/>
    </row>
    <row r="73" spans="1:29" ht="25.5" x14ac:dyDescent="0.2">
      <c r="A73" s="24" t="s">
        <v>27</v>
      </c>
      <c r="B73" s="24"/>
      <c r="C73" s="24" t="s">
        <v>276</v>
      </c>
      <c r="D73" s="91" t="s">
        <v>277</v>
      </c>
      <c r="E73" s="35" t="s">
        <v>161</v>
      </c>
      <c r="F73" s="30">
        <v>3</v>
      </c>
      <c r="G73" s="30">
        <v>0</v>
      </c>
      <c r="H73" s="9">
        <f>ROUND(F73*AB73,2)</f>
        <v>0</v>
      </c>
      <c r="I73" s="9">
        <f>+F73*G73</f>
        <v>0</v>
      </c>
      <c r="J73" s="9">
        <f>ROUND(F73*G73,2)</f>
        <v>0</v>
      </c>
      <c r="K73" s="19"/>
      <c r="L73" s="9"/>
      <c r="W73" s="9"/>
      <c r="X73" s="9"/>
      <c r="Y73" s="9"/>
      <c r="AA73" s="21"/>
      <c r="AB73" s="21"/>
      <c r="AC73" s="21"/>
    </row>
    <row r="74" spans="1:29" x14ac:dyDescent="0.2">
      <c r="A74" s="24" t="s">
        <v>413</v>
      </c>
      <c r="B74" s="24"/>
      <c r="C74" s="24" t="s">
        <v>278</v>
      </c>
      <c r="D74" s="91" t="s">
        <v>279</v>
      </c>
      <c r="E74" s="35" t="s">
        <v>161</v>
      </c>
      <c r="F74" s="30">
        <v>3</v>
      </c>
      <c r="G74" s="30">
        <v>0</v>
      </c>
      <c r="H74" s="9">
        <f>ROUND(F74*AB74,2)</f>
        <v>0</v>
      </c>
      <c r="I74" s="9">
        <f>+F74*G74</f>
        <v>0</v>
      </c>
      <c r="J74" s="9">
        <f>ROUND(F74*G74,2)</f>
        <v>0</v>
      </c>
      <c r="K74" s="19"/>
      <c r="L74" s="9"/>
      <c r="W74" s="9"/>
      <c r="X74" s="9"/>
      <c r="Y74" s="9"/>
      <c r="AA74" s="21"/>
      <c r="AB74" s="21"/>
      <c r="AC74" s="21"/>
    </row>
    <row r="75" spans="1:29" ht="30" customHeight="1" x14ac:dyDescent="0.2">
      <c r="A75" s="24" t="s">
        <v>28</v>
      </c>
      <c r="B75" s="24"/>
      <c r="C75" s="24" t="s">
        <v>280</v>
      </c>
      <c r="D75" s="91" t="s">
        <v>281</v>
      </c>
      <c r="E75" s="35" t="s">
        <v>155</v>
      </c>
      <c r="F75" s="30">
        <f>+F61</f>
        <v>1703</v>
      </c>
      <c r="G75" s="30">
        <v>0</v>
      </c>
      <c r="H75" s="9">
        <f>ROUND(F75*AB75,2)</f>
        <v>0</v>
      </c>
      <c r="I75" s="9">
        <f>+F75*G75</f>
        <v>0</v>
      </c>
      <c r="J75" s="9">
        <f>ROUND(F75*G75,2)</f>
        <v>0</v>
      </c>
      <c r="K75" s="19"/>
      <c r="L75" s="9"/>
      <c r="W75" s="9"/>
      <c r="X75" s="9"/>
      <c r="Y75" s="9"/>
      <c r="AA75" s="21"/>
      <c r="AB75" s="21"/>
      <c r="AC75" s="21"/>
    </row>
    <row r="76" spans="1:29" ht="24.6" customHeight="1" x14ac:dyDescent="0.2">
      <c r="A76" s="25"/>
      <c r="B76" s="25"/>
      <c r="C76" s="26" t="s">
        <v>24</v>
      </c>
      <c r="D76" s="162" t="s">
        <v>138</v>
      </c>
      <c r="E76" s="162"/>
      <c r="F76" s="162"/>
      <c r="G76" s="162"/>
      <c r="H76" s="22">
        <f>SUM(H77:H80)</f>
        <v>0</v>
      </c>
      <c r="I76" s="22">
        <f>SUM(I77:I80)</f>
        <v>0</v>
      </c>
      <c r="J76" s="22">
        <f>H76+I76</f>
        <v>0</v>
      </c>
      <c r="K76" s="19"/>
      <c r="L76" s="9"/>
      <c r="W76" s="9"/>
      <c r="X76" s="9"/>
      <c r="Y76" s="9"/>
      <c r="AA76" s="21"/>
      <c r="AB76" s="21"/>
      <c r="AC76" s="21"/>
    </row>
    <row r="77" spans="1:29" ht="22.9" customHeight="1" x14ac:dyDescent="0.2">
      <c r="A77" s="24" t="s">
        <v>29</v>
      </c>
      <c r="B77" s="24"/>
      <c r="C77" s="24" t="s">
        <v>89</v>
      </c>
      <c r="D77" s="29" t="s">
        <v>282</v>
      </c>
      <c r="E77" s="35" t="s">
        <v>156</v>
      </c>
      <c r="F77" s="30" t="str">
        <f>+F78</f>
        <v>4097</v>
      </c>
      <c r="G77" s="30">
        <v>0</v>
      </c>
      <c r="H77" s="9">
        <f>ROUND(F77*AB77,2)</f>
        <v>0</v>
      </c>
      <c r="I77" s="9">
        <f>J77-H77</f>
        <v>0</v>
      </c>
      <c r="J77" s="9">
        <f>ROUND(F77*G77,2)</f>
        <v>0</v>
      </c>
      <c r="K77" s="19"/>
      <c r="L77" s="9"/>
      <c r="W77" s="9"/>
      <c r="X77" s="9"/>
      <c r="Y77" s="9"/>
      <c r="AA77" s="21"/>
      <c r="AB77" s="21"/>
      <c r="AC77" s="21"/>
    </row>
    <row r="78" spans="1:29" ht="21.6" customHeight="1" x14ac:dyDescent="0.2">
      <c r="A78" s="24"/>
      <c r="B78" s="24"/>
      <c r="C78" s="24"/>
      <c r="D78" s="40" t="s">
        <v>389</v>
      </c>
      <c r="E78" s="40"/>
      <c r="F78" s="40" t="s">
        <v>389</v>
      </c>
      <c r="G78" s="30"/>
      <c r="H78" s="9"/>
      <c r="I78" s="9"/>
      <c r="J78" s="9"/>
      <c r="K78" s="19"/>
      <c r="L78" s="9"/>
      <c r="W78" s="9"/>
      <c r="X78" s="9"/>
      <c r="Y78" s="9"/>
      <c r="AA78" s="21"/>
      <c r="AB78" s="21"/>
      <c r="AC78" s="21"/>
    </row>
    <row r="79" spans="1:29" ht="39" customHeight="1" x14ac:dyDescent="0.2">
      <c r="A79" s="24" t="s">
        <v>414</v>
      </c>
      <c r="B79" s="24"/>
      <c r="C79" s="24" t="s">
        <v>354</v>
      </c>
      <c r="D79" s="29" t="s">
        <v>387</v>
      </c>
      <c r="E79" s="35" t="s">
        <v>156</v>
      </c>
      <c r="F79" s="30">
        <f>F80</f>
        <v>890.72</v>
      </c>
      <c r="G79" s="30">
        <v>0</v>
      </c>
      <c r="H79" s="9">
        <f>ROUND(F79*AB79,2)</f>
        <v>0</v>
      </c>
      <c r="I79" s="9">
        <f>J79-H79</f>
        <v>0</v>
      </c>
      <c r="J79" s="9">
        <f>ROUND(F79*G79,2)</f>
        <v>0</v>
      </c>
      <c r="K79" s="19"/>
      <c r="L79" s="9"/>
      <c r="W79" s="9"/>
      <c r="X79" s="9"/>
      <c r="Y79" s="9"/>
      <c r="AA79" s="21"/>
      <c r="AB79" s="21"/>
      <c r="AC79" s="21"/>
    </row>
    <row r="80" spans="1:29" ht="24" customHeight="1" x14ac:dyDescent="0.2">
      <c r="A80" s="24"/>
      <c r="B80" s="24"/>
      <c r="C80" s="24"/>
      <c r="D80" s="40" t="s">
        <v>443</v>
      </c>
      <c r="E80" s="40"/>
      <c r="F80" s="74">
        <f>476+36.91+77.81+300</f>
        <v>890.72</v>
      </c>
      <c r="G80" s="30"/>
      <c r="H80" s="9"/>
      <c r="I80" s="9"/>
      <c r="J80" s="9"/>
      <c r="K80" s="19"/>
      <c r="L80" s="9"/>
      <c r="W80" s="9"/>
      <c r="X80" s="9"/>
      <c r="Y80" s="9"/>
      <c r="AA80" s="21"/>
      <c r="AB80" s="21"/>
      <c r="AC80" s="21"/>
    </row>
    <row r="81" spans="1:34" x14ac:dyDescent="0.2">
      <c r="A81" s="25"/>
      <c r="B81" s="25"/>
      <c r="C81" s="26" t="s">
        <v>218</v>
      </c>
      <c r="D81" s="162" t="s">
        <v>217</v>
      </c>
      <c r="E81" s="162"/>
      <c r="F81" s="162"/>
      <c r="G81" s="162"/>
      <c r="H81" s="22">
        <f>SUM(H82:H92)</f>
        <v>0</v>
      </c>
      <c r="I81" s="22">
        <f>SUM(I82:I92)</f>
        <v>0</v>
      </c>
      <c r="J81" s="22">
        <f>H81+I81</f>
        <v>0</v>
      </c>
      <c r="M81" s="22" t="e">
        <f>IF(N81="PR",J81,SUM(#REF!))</f>
        <v>#REF!</v>
      </c>
      <c r="N81" s="16" t="s">
        <v>180</v>
      </c>
      <c r="O81" s="22">
        <f>IF(N81="HS",H81,0)</f>
        <v>0</v>
      </c>
      <c r="P81" s="22" t="e">
        <f>IF(N81="HS",I81-M81,0)</f>
        <v>#REF!</v>
      </c>
      <c r="Q81" s="22">
        <f>IF(N81="PS",H81,0)</f>
        <v>0</v>
      </c>
      <c r="R81" s="22">
        <f>IF(N81="PS",I81-M81,0)</f>
        <v>0</v>
      </c>
      <c r="S81" s="22">
        <f>IF(N81="MP",H81,0)</f>
        <v>0</v>
      </c>
      <c r="T81" s="22">
        <f>IF(N81="MP",I81-M81,0)</f>
        <v>0</v>
      </c>
      <c r="U81" s="22">
        <f>IF(N81="OM",H81,0)</f>
        <v>0</v>
      </c>
      <c r="V81" s="16" t="s">
        <v>68</v>
      </c>
      <c r="AF81" s="22" t="e">
        <f>SUM(#REF!)</f>
        <v>#REF!</v>
      </c>
      <c r="AG81" s="22" t="e">
        <f>SUM(#REF!)</f>
        <v>#REF!</v>
      </c>
      <c r="AH81" s="22" t="e">
        <f>SUM(#REF!)</f>
        <v>#REF!</v>
      </c>
    </row>
    <row r="82" spans="1:34" ht="30" customHeight="1" x14ac:dyDescent="0.2">
      <c r="A82" s="24" t="s">
        <v>30</v>
      </c>
      <c r="B82" s="24"/>
      <c r="C82" s="24" t="s">
        <v>218</v>
      </c>
      <c r="D82" s="29" t="s">
        <v>495</v>
      </c>
      <c r="E82" s="35" t="s">
        <v>156</v>
      </c>
      <c r="F82" s="30">
        <f>SUM(F83:F84)</f>
        <v>1601</v>
      </c>
      <c r="G82" s="30">
        <v>0</v>
      </c>
      <c r="H82" s="9">
        <f>ROUND(F82*AB82,2)</f>
        <v>0</v>
      </c>
      <c r="I82" s="9">
        <f>J82-H82</f>
        <v>0</v>
      </c>
      <c r="J82" s="9">
        <f>ROUND(F82*G82,2)</f>
        <v>0</v>
      </c>
      <c r="K82" s="19" t="s">
        <v>7</v>
      </c>
      <c r="L82" s="9">
        <f>IF(K82="5",I82,0)</f>
        <v>0</v>
      </c>
      <c r="W82" s="9">
        <f>IF(AA82=0,J82,0)</f>
        <v>0</v>
      </c>
      <c r="X82" s="9">
        <f>IF(AA82=15,J82,0)</f>
        <v>0</v>
      </c>
      <c r="Y82" s="9">
        <f>IF(AA82=21,J82,0)</f>
        <v>0</v>
      </c>
      <c r="AA82" s="21">
        <v>21</v>
      </c>
      <c r="AB82" s="21">
        <f>G82*0.480234782890683</f>
        <v>0</v>
      </c>
      <c r="AC82" s="21">
        <f>G82*(1-0.480234782890683)</f>
        <v>0</v>
      </c>
    </row>
    <row r="83" spans="1:34" ht="14.45" customHeight="1" x14ac:dyDescent="0.2">
      <c r="A83" s="24"/>
      <c r="B83" s="24"/>
      <c r="C83" s="24"/>
      <c r="D83" s="40" t="s">
        <v>350</v>
      </c>
      <c r="E83" s="35"/>
      <c r="F83" s="74">
        <f>1211</f>
        <v>1211</v>
      </c>
      <c r="G83" s="30"/>
      <c r="H83" s="9"/>
      <c r="I83" s="9"/>
      <c r="J83" s="9"/>
      <c r="K83" s="19"/>
      <c r="L83" s="9"/>
      <c r="W83" s="9"/>
      <c r="X83" s="9"/>
      <c r="Y83" s="9"/>
      <c r="AA83" s="21"/>
      <c r="AB83" s="21"/>
      <c r="AC83" s="21"/>
    </row>
    <row r="84" spans="1:34" ht="14.45" customHeight="1" x14ac:dyDescent="0.2">
      <c r="A84" s="24"/>
      <c r="B84" s="24"/>
      <c r="C84" s="24"/>
      <c r="D84" s="40" t="s">
        <v>351</v>
      </c>
      <c r="E84" s="35"/>
      <c r="F84" s="74">
        <f>390</f>
        <v>390</v>
      </c>
      <c r="G84" s="30"/>
      <c r="H84" s="9"/>
      <c r="I84" s="9"/>
      <c r="J84" s="9"/>
      <c r="K84" s="19"/>
      <c r="L84" s="9"/>
      <c r="W84" s="9"/>
      <c r="X84" s="9"/>
      <c r="Y84" s="9"/>
      <c r="AA84" s="21"/>
      <c r="AB84" s="21"/>
      <c r="AC84" s="21"/>
    </row>
    <row r="85" spans="1:34" ht="39.75" customHeight="1" x14ac:dyDescent="0.2">
      <c r="A85" s="24" t="s">
        <v>31</v>
      </c>
      <c r="B85" s="24"/>
      <c r="C85" s="24" t="s">
        <v>471</v>
      </c>
      <c r="D85" s="29" t="s">
        <v>496</v>
      </c>
      <c r="E85" s="35" t="s">
        <v>156</v>
      </c>
      <c r="F85" s="30">
        <f>SUM(F86:F87)</f>
        <v>1109.8</v>
      </c>
      <c r="G85" s="30">
        <v>0</v>
      </c>
      <c r="H85" s="9">
        <f>ROUND(F85*AB85,2)</f>
        <v>0</v>
      </c>
      <c r="I85" s="9">
        <f>J85-H85</f>
        <v>0</v>
      </c>
      <c r="J85" s="9">
        <f>ROUND(F85*G85,2)</f>
        <v>0</v>
      </c>
      <c r="K85" s="19" t="s">
        <v>7</v>
      </c>
      <c r="L85" s="9">
        <f>IF(K85="5",I85,0)</f>
        <v>0</v>
      </c>
      <c r="W85" s="9">
        <f>IF(AA85=0,J85,0)</f>
        <v>0</v>
      </c>
      <c r="X85" s="9">
        <f>IF(AA85=15,J85,0)</f>
        <v>0</v>
      </c>
      <c r="Y85" s="9">
        <f>IF(AA85=21,J85,0)</f>
        <v>0</v>
      </c>
      <c r="AA85" s="21">
        <v>21</v>
      </c>
      <c r="AB85" s="21">
        <f>G85*0.480234782890683</f>
        <v>0</v>
      </c>
      <c r="AC85" s="21">
        <f>G85*(1-0.480234782890683)</f>
        <v>0</v>
      </c>
    </row>
    <row r="86" spans="1:34" ht="14.45" customHeight="1" x14ac:dyDescent="0.2">
      <c r="A86" s="24"/>
      <c r="B86" s="24"/>
      <c r="C86" s="24"/>
      <c r="D86" s="40" t="s">
        <v>348</v>
      </c>
      <c r="E86" s="35"/>
      <c r="F86" s="74">
        <f>1061</f>
        <v>1061</v>
      </c>
      <c r="G86" s="30"/>
      <c r="H86" s="9"/>
      <c r="I86" s="9"/>
      <c r="J86" s="9"/>
      <c r="K86" s="19"/>
      <c r="L86" s="9"/>
      <c r="W86" s="9"/>
      <c r="X86" s="9"/>
      <c r="Y86" s="9"/>
      <c r="AA86" s="21"/>
      <c r="AB86" s="21"/>
      <c r="AC86" s="21"/>
    </row>
    <row r="87" spans="1:34" ht="14.45" customHeight="1" x14ac:dyDescent="0.2">
      <c r="A87" s="24"/>
      <c r="B87" s="24"/>
      <c r="C87" s="24"/>
      <c r="D87" s="40" t="s">
        <v>349</v>
      </c>
      <c r="E87" s="35"/>
      <c r="F87" s="74">
        <f>48.8</f>
        <v>48.8</v>
      </c>
      <c r="G87" s="30"/>
      <c r="H87" s="9"/>
      <c r="I87" s="9"/>
      <c r="J87" s="9"/>
      <c r="K87" s="19"/>
      <c r="L87" s="9"/>
      <c r="W87" s="9"/>
      <c r="X87" s="9"/>
      <c r="Y87" s="9"/>
      <c r="AA87" s="21"/>
      <c r="AB87" s="21"/>
      <c r="AC87" s="21"/>
    </row>
    <row r="88" spans="1:34" ht="42" customHeight="1" x14ac:dyDescent="0.2">
      <c r="A88" s="24" t="s">
        <v>32</v>
      </c>
      <c r="B88" s="24"/>
      <c r="C88" s="24" t="s">
        <v>219</v>
      </c>
      <c r="D88" s="29" t="s">
        <v>503</v>
      </c>
      <c r="E88" s="35" t="s">
        <v>156</v>
      </c>
      <c r="F88" s="30">
        <f>F89</f>
        <v>2710.8</v>
      </c>
      <c r="G88" s="30">
        <v>0</v>
      </c>
      <c r="H88" s="9">
        <f>ROUND(F88*AB88,2)</f>
        <v>0</v>
      </c>
      <c r="I88" s="9">
        <f>J88-H88</f>
        <v>0</v>
      </c>
      <c r="J88" s="9">
        <f>ROUND(F88*G88,2)</f>
        <v>0</v>
      </c>
      <c r="K88" s="19" t="s">
        <v>7</v>
      </c>
      <c r="L88" s="9">
        <f>IF(K88="5",I88,0)</f>
        <v>0</v>
      </c>
      <c r="W88" s="9">
        <f>IF(AA88=0,J88,0)</f>
        <v>0</v>
      </c>
      <c r="X88" s="9">
        <f>IF(AA88=15,J88,0)</f>
        <v>0</v>
      </c>
      <c r="Y88" s="9">
        <f>IF(AA88=21,J88,0)</f>
        <v>0</v>
      </c>
      <c r="AA88" s="21">
        <v>21</v>
      </c>
      <c r="AB88" s="21">
        <f>G88*0.67938618633493</f>
        <v>0</v>
      </c>
      <c r="AC88" s="21">
        <f>G88*(1-0.67938618633493)</f>
        <v>0</v>
      </c>
    </row>
    <row r="89" spans="1:34" ht="21" customHeight="1" x14ac:dyDescent="0.2">
      <c r="A89" s="24"/>
      <c r="B89" s="24"/>
      <c r="C89" s="24"/>
      <c r="D89" s="40" t="s">
        <v>352</v>
      </c>
      <c r="E89" s="35"/>
      <c r="F89" s="74">
        <f>F82+F85</f>
        <v>2710.8</v>
      </c>
      <c r="G89" s="30"/>
      <c r="H89" s="9"/>
      <c r="I89" s="9"/>
      <c r="J89" s="9"/>
      <c r="K89" s="19"/>
      <c r="L89" s="9"/>
      <c r="W89" s="9"/>
      <c r="X89" s="9"/>
      <c r="Y89" s="9"/>
      <c r="AA89" s="21"/>
      <c r="AB89" s="21"/>
      <c r="AC89" s="21"/>
    </row>
    <row r="90" spans="1:34" s="87" customFormat="1" ht="25.5" x14ac:dyDescent="0.2">
      <c r="A90" s="82" t="s">
        <v>33</v>
      </c>
      <c r="B90" s="82"/>
      <c r="C90" s="82" t="s">
        <v>91</v>
      </c>
      <c r="D90" s="83" t="s">
        <v>379</v>
      </c>
      <c r="E90" s="84" t="s">
        <v>155</v>
      </c>
      <c r="F90" s="85">
        <f>F91</f>
        <v>2.2616000000000001</v>
      </c>
      <c r="G90" s="85">
        <v>0</v>
      </c>
      <c r="H90" s="86">
        <f>ROUND(F90*AB90,2)</f>
        <v>0</v>
      </c>
      <c r="I90" s="86">
        <f>J90-H90</f>
        <v>0</v>
      </c>
      <c r="J90" s="86">
        <f>ROUND(F90*G90,2)</f>
        <v>0</v>
      </c>
      <c r="K90" s="90" t="s">
        <v>9</v>
      </c>
      <c r="L90" s="86">
        <f>IF(K90="5",I90,0)</f>
        <v>0</v>
      </c>
      <c r="W90" s="86">
        <f>IF(AA90=0,J90,0)</f>
        <v>0</v>
      </c>
      <c r="X90" s="86">
        <f>IF(AA90=15,J90,0)</f>
        <v>0</v>
      </c>
      <c r="Y90" s="86">
        <f>IF(AA90=21,J90,0)</f>
        <v>0</v>
      </c>
      <c r="AA90" s="86">
        <v>21</v>
      </c>
      <c r="AB90" s="86">
        <f>G90*0.574024731843957</f>
        <v>0</v>
      </c>
      <c r="AC90" s="86">
        <f>G90*(1-0.574024731843957)</f>
        <v>0</v>
      </c>
    </row>
    <row r="91" spans="1:34" s="79" customFormat="1" x14ac:dyDescent="0.2">
      <c r="A91" s="92"/>
      <c r="B91" s="92"/>
      <c r="C91" s="92"/>
      <c r="D91" s="40" t="s">
        <v>380</v>
      </c>
      <c r="E91" s="35"/>
      <c r="F91" s="74">
        <f>8.8*0.257</f>
        <v>2.2616000000000001</v>
      </c>
      <c r="G91" s="93"/>
    </row>
    <row r="92" spans="1:34" s="87" customFormat="1" x14ac:dyDescent="0.2">
      <c r="A92" s="82" t="s">
        <v>34</v>
      </c>
      <c r="B92" s="82"/>
      <c r="C92" s="82" t="s">
        <v>92</v>
      </c>
      <c r="D92" s="83" t="s">
        <v>381</v>
      </c>
      <c r="E92" s="84" t="s">
        <v>161</v>
      </c>
      <c r="F92" s="85">
        <v>2</v>
      </c>
      <c r="G92" s="85">
        <v>0</v>
      </c>
      <c r="H92" s="86">
        <f>ROUND(F92*AB92,2)</f>
        <v>0</v>
      </c>
      <c r="I92" s="86">
        <f>J92-H92</f>
        <v>0</v>
      </c>
      <c r="J92" s="86">
        <f>ROUND(F92*G92,2)</f>
        <v>0</v>
      </c>
      <c r="K92" s="90" t="s">
        <v>177</v>
      </c>
      <c r="L92" s="86">
        <f>IF(K92="5",I92,0)</f>
        <v>0</v>
      </c>
      <c r="W92" s="86">
        <f>IF(AA92=0,J92,0)</f>
        <v>0</v>
      </c>
      <c r="X92" s="86">
        <f>IF(AA92=15,J92,0)</f>
        <v>0</v>
      </c>
      <c r="Y92" s="86">
        <f>IF(AA92=21,J92,0)</f>
        <v>0</v>
      </c>
      <c r="AA92" s="86">
        <v>21</v>
      </c>
      <c r="AB92" s="86">
        <f>G92*1</f>
        <v>0</v>
      </c>
      <c r="AC92" s="86">
        <f>G92*(1-1)</f>
        <v>0</v>
      </c>
    </row>
    <row r="93" spans="1:34" x14ac:dyDescent="0.2">
      <c r="A93" s="25"/>
      <c r="B93" s="25"/>
      <c r="C93" s="26" t="s">
        <v>56</v>
      </c>
      <c r="D93" s="162" t="s">
        <v>130</v>
      </c>
      <c r="E93" s="162"/>
      <c r="F93" s="162"/>
      <c r="G93" s="162"/>
      <c r="H93" s="22">
        <f>SUM(H94:H115)</f>
        <v>0</v>
      </c>
      <c r="I93" s="22">
        <f>SUM(I94:I115)</f>
        <v>0</v>
      </c>
      <c r="J93" s="22">
        <f>H93+I93</f>
        <v>0</v>
      </c>
      <c r="M93" s="22" t="e">
        <f>IF(N93="PR",J93,SUM(#REF!))</f>
        <v>#REF!</v>
      </c>
      <c r="N93" s="16" t="s">
        <v>180</v>
      </c>
      <c r="O93" s="22">
        <f>IF(N93="HS",H93,0)</f>
        <v>0</v>
      </c>
      <c r="P93" s="22" t="e">
        <f>IF(N93="HS",I93-M93,0)</f>
        <v>#REF!</v>
      </c>
      <c r="Q93" s="22">
        <f>IF(N93="PS",H93,0)</f>
        <v>0</v>
      </c>
      <c r="R93" s="22">
        <f>IF(N93="PS",I93-M93,0)</f>
        <v>0</v>
      </c>
      <c r="S93" s="22">
        <f>IF(N93="MP",H93,0)</f>
        <v>0</v>
      </c>
      <c r="T93" s="22">
        <f>IF(N93="MP",I93-M93,0)</f>
        <v>0</v>
      </c>
      <c r="U93" s="22">
        <f>IF(N93="OM",H93,0)</f>
        <v>0</v>
      </c>
      <c r="V93" s="16" t="s">
        <v>68</v>
      </c>
      <c r="AF93" s="22" t="e">
        <f>SUM(#REF!)</f>
        <v>#REF!</v>
      </c>
      <c r="AG93" s="22" t="e">
        <f>SUM(#REF!)</f>
        <v>#REF!</v>
      </c>
      <c r="AH93" s="22" t="e">
        <f>SUM(#REF!)</f>
        <v>#REF!</v>
      </c>
    </row>
    <row r="94" spans="1:34" x14ac:dyDescent="0.2">
      <c r="A94" s="24" t="s">
        <v>415</v>
      </c>
      <c r="B94" s="24"/>
      <c r="C94" s="24" t="s">
        <v>83</v>
      </c>
      <c r="D94" s="29" t="s">
        <v>283</v>
      </c>
      <c r="E94" s="35" t="s">
        <v>156</v>
      </c>
      <c r="F94" s="30">
        <f>SUM(F95:F96)</f>
        <v>1109.8</v>
      </c>
      <c r="G94" s="30">
        <v>0</v>
      </c>
      <c r="H94" s="9">
        <f>+F94*G94*0.7</f>
        <v>0</v>
      </c>
      <c r="I94" s="9">
        <f>J94-H94</f>
        <v>0</v>
      </c>
      <c r="J94" s="9">
        <f>ROUND(F94*G94,2)</f>
        <v>0</v>
      </c>
      <c r="K94" s="19"/>
      <c r="L94" s="9"/>
      <c r="W94" s="9"/>
      <c r="X94" s="9"/>
      <c r="Y94" s="9"/>
      <c r="AA94" s="21"/>
      <c r="AB94" s="21"/>
      <c r="AC94" s="21"/>
    </row>
    <row r="95" spans="1:34" x14ac:dyDescent="0.2">
      <c r="A95" s="24"/>
      <c r="B95" s="24"/>
      <c r="C95" s="24"/>
      <c r="D95" s="40" t="s">
        <v>446</v>
      </c>
      <c r="E95" s="35"/>
      <c r="F95" s="74">
        <f>1061</f>
        <v>1061</v>
      </c>
      <c r="G95" s="30"/>
      <c r="H95" s="9"/>
      <c r="I95" s="9"/>
      <c r="J95" s="9"/>
      <c r="K95" s="19"/>
      <c r="L95" s="9"/>
      <c r="W95" s="9"/>
      <c r="X95" s="9"/>
      <c r="Y95" s="9"/>
      <c r="AA95" s="21"/>
      <c r="AB95" s="21"/>
      <c r="AC95" s="21"/>
    </row>
    <row r="96" spans="1:34" x14ac:dyDescent="0.2">
      <c r="A96" s="24"/>
      <c r="B96" s="24"/>
      <c r="C96" s="24"/>
      <c r="D96" s="40" t="s">
        <v>349</v>
      </c>
      <c r="E96" s="35"/>
      <c r="F96" s="74">
        <f>48.8</f>
        <v>48.8</v>
      </c>
      <c r="G96" s="30"/>
      <c r="H96" s="9"/>
      <c r="I96" s="9"/>
      <c r="J96" s="9"/>
      <c r="K96" s="19"/>
      <c r="L96" s="9"/>
      <c r="W96" s="9"/>
      <c r="X96" s="9"/>
      <c r="Y96" s="9"/>
      <c r="AA96" s="21"/>
      <c r="AB96" s="21"/>
      <c r="AC96" s="21"/>
    </row>
    <row r="97" spans="1:29" s="87" customFormat="1" x14ac:dyDescent="0.2">
      <c r="A97" s="82" t="s">
        <v>35</v>
      </c>
      <c r="B97" s="82"/>
      <c r="C97" s="82" t="s">
        <v>83</v>
      </c>
      <c r="D97" s="83" t="s">
        <v>445</v>
      </c>
      <c r="E97" s="84" t="s">
        <v>156</v>
      </c>
      <c r="F97" s="85">
        <f>SUM(F98)</f>
        <v>360.5</v>
      </c>
      <c r="G97" s="85">
        <v>0</v>
      </c>
      <c r="H97" s="86">
        <f>+F97*G97*0.7</f>
        <v>0</v>
      </c>
      <c r="I97" s="86">
        <f>J97-H97</f>
        <v>0</v>
      </c>
      <c r="J97" s="86">
        <f>ROUND(F97*G97,2)</f>
        <v>0</v>
      </c>
      <c r="K97" s="90"/>
      <c r="L97" s="86"/>
      <c r="W97" s="86"/>
      <c r="X97" s="86"/>
      <c r="Y97" s="86"/>
      <c r="AA97" s="86"/>
      <c r="AB97" s="86"/>
      <c r="AC97" s="86"/>
    </row>
    <row r="98" spans="1:29" x14ac:dyDescent="0.2">
      <c r="A98" s="24"/>
      <c r="B98" s="24"/>
      <c r="C98" s="24"/>
      <c r="D98" s="40" t="s">
        <v>447</v>
      </c>
      <c r="E98" s="35"/>
      <c r="F98" s="74">
        <f>360.5</f>
        <v>360.5</v>
      </c>
      <c r="G98" s="30"/>
      <c r="H98" s="9"/>
      <c r="I98" s="9"/>
      <c r="J98" s="9"/>
      <c r="K98" s="19"/>
      <c r="L98" s="9"/>
      <c r="W98" s="9"/>
      <c r="X98" s="9"/>
      <c r="Y98" s="9"/>
      <c r="AA98" s="21"/>
      <c r="AB98" s="21"/>
      <c r="AC98" s="21"/>
    </row>
    <row r="99" spans="1:29" x14ac:dyDescent="0.2">
      <c r="A99" s="24" t="s">
        <v>36</v>
      </c>
      <c r="B99" s="24"/>
      <c r="C99" s="24" t="s">
        <v>96</v>
      </c>
      <c r="D99" s="29" t="s">
        <v>284</v>
      </c>
      <c r="E99" s="35" t="s">
        <v>156</v>
      </c>
      <c r="F99" s="30">
        <f>SUM(F100:F101)</f>
        <v>702.5</v>
      </c>
      <c r="G99" s="30">
        <v>0</v>
      </c>
      <c r="H99" s="9">
        <f>+F99*G99*0.7</f>
        <v>0</v>
      </c>
      <c r="I99" s="9">
        <f>J99-H99</f>
        <v>0</v>
      </c>
      <c r="J99" s="9">
        <f>ROUND(F99*G99,2)</f>
        <v>0</v>
      </c>
      <c r="K99" s="19"/>
      <c r="L99" s="9"/>
      <c r="W99" s="9"/>
      <c r="X99" s="9"/>
      <c r="Y99" s="9"/>
      <c r="AA99" s="21"/>
      <c r="AB99" s="21"/>
      <c r="AC99" s="21"/>
    </row>
    <row r="100" spans="1:29" x14ac:dyDescent="0.2">
      <c r="A100" s="24"/>
      <c r="B100" s="24"/>
      <c r="C100" s="24"/>
      <c r="D100" s="40" t="s">
        <v>448</v>
      </c>
      <c r="E100" s="35"/>
      <c r="F100" s="74">
        <f>342</f>
        <v>342</v>
      </c>
      <c r="G100" s="30"/>
      <c r="H100" s="9"/>
      <c r="I100" s="9"/>
      <c r="J100" s="9"/>
      <c r="K100" s="19"/>
      <c r="L100" s="9"/>
      <c r="W100" s="9"/>
      <c r="X100" s="9"/>
      <c r="Y100" s="9"/>
      <c r="AA100" s="21"/>
      <c r="AB100" s="21"/>
      <c r="AC100" s="21"/>
    </row>
    <row r="101" spans="1:29" x14ac:dyDescent="0.2">
      <c r="A101" s="24"/>
      <c r="B101" s="24"/>
      <c r="C101" s="24"/>
      <c r="D101" s="40" t="s">
        <v>447</v>
      </c>
      <c r="E101" s="35"/>
      <c r="F101" s="74">
        <f>360.5</f>
        <v>360.5</v>
      </c>
      <c r="G101" s="30"/>
      <c r="H101" s="9"/>
      <c r="I101" s="9"/>
      <c r="J101" s="9"/>
      <c r="K101" s="19"/>
      <c r="L101" s="9"/>
      <c r="W101" s="9"/>
      <c r="X101" s="9"/>
      <c r="Y101" s="9"/>
      <c r="AA101" s="21"/>
      <c r="AB101" s="21"/>
      <c r="AC101" s="21"/>
    </row>
    <row r="102" spans="1:29" x14ac:dyDescent="0.2">
      <c r="A102" s="24" t="s">
        <v>37</v>
      </c>
      <c r="B102" s="24"/>
      <c r="C102" s="24" t="s">
        <v>95</v>
      </c>
      <c r="D102" s="29" t="s">
        <v>285</v>
      </c>
      <c r="E102" s="35" t="s">
        <v>156</v>
      </c>
      <c r="F102" s="30">
        <f>SUM(F103:F107)</f>
        <v>3070.3</v>
      </c>
      <c r="G102" s="30">
        <v>0</v>
      </c>
      <c r="H102" s="9">
        <f>+F102*G102*0.7</f>
        <v>0</v>
      </c>
      <c r="I102" s="9">
        <f>J102-H102</f>
        <v>0</v>
      </c>
      <c r="J102" s="9">
        <f>ROUND(F102*G102,2)</f>
        <v>0</v>
      </c>
      <c r="K102" s="19"/>
      <c r="L102" s="9"/>
      <c r="W102" s="9"/>
      <c r="X102" s="9"/>
      <c r="Y102" s="9"/>
      <c r="AA102" s="21"/>
      <c r="AB102" s="21"/>
      <c r="AC102" s="21"/>
    </row>
    <row r="103" spans="1:29" x14ac:dyDescent="0.2">
      <c r="A103" s="24"/>
      <c r="B103" s="24"/>
      <c r="C103" s="24"/>
      <c r="D103" s="40" t="s">
        <v>447</v>
      </c>
      <c r="E103" s="35"/>
      <c r="F103" s="74">
        <f>360.5</f>
        <v>360.5</v>
      </c>
      <c r="G103" s="30"/>
      <c r="H103" s="9"/>
      <c r="I103" s="9"/>
      <c r="J103" s="9"/>
      <c r="K103" s="19"/>
      <c r="L103" s="9"/>
      <c r="W103" s="9"/>
      <c r="X103" s="9"/>
      <c r="Y103" s="9"/>
      <c r="AA103" s="21"/>
      <c r="AB103" s="21"/>
      <c r="AC103" s="21"/>
    </row>
    <row r="104" spans="1:29" x14ac:dyDescent="0.2">
      <c r="A104" s="24"/>
      <c r="B104" s="24"/>
      <c r="C104" s="24"/>
      <c r="D104" s="40" t="s">
        <v>446</v>
      </c>
      <c r="E104" s="35"/>
      <c r="F104" s="74">
        <f>1061</f>
        <v>1061</v>
      </c>
      <c r="G104" s="30"/>
      <c r="H104" s="9"/>
      <c r="I104" s="9"/>
      <c r="J104" s="9"/>
      <c r="K104" s="19"/>
      <c r="L104" s="9"/>
      <c r="W104" s="9"/>
      <c r="X104" s="9"/>
      <c r="Y104" s="9"/>
      <c r="AA104" s="21"/>
      <c r="AB104" s="21"/>
      <c r="AC104" s="21"/>
    </row>
    <row r="105" spans="1:29" x14ac:dyDescent="0.2">
      <c r="A105" s="24"/>
      <c r="B105" s="24"/>
      <c r="C105" s="24"/>
      <c r="D105" s="40" t="s">
        <v>349</v>
      </c>
      <c r="E105" s="35"/>
      <c r="F105" s="74">
        <f>48.8</f>
        <v>48.8</v>
      </c>
      <c r="G105" s="30"/>
      <c r="H105" s="9"/>
      <c r="I105" s="9"/>
      <c r="J105" s="9"/>
      <c r="K105" s="19"/>
      <c r="L105" s="9"/>
      <c r="W105" s="9"/>
      <c r="X105" s="9"/>
      <c r="Y105" s="9"/>
      <c r="AA105" s="21"/>
      <c r="AB105" s="21"/>
      <c r="AC105" s="21"/>
    </row>
    <row r="106" spans="1:29" x14ac:dyDescent="0.2">
      <c r="A106" s="24"/>
      <c r="B106" s="24"/>
      <c r="C106" s="24"/>
      <c r="D106" s="40" t="s">
        <v>449</v>
      </c>
      <c r="E106" s="35"/>
      <c r="F106" s="74">
        <f>1210</f>
        <v>1210</v>
      </c>
      <c r="G106" s="30"/>
      <c r="H106" s="9"/>
      <c r="I106" s="9"/>
      <c r="J106" s="9"/>
      <c r="K106" s="19"/>
      <c r="L106" s="9"/>
      <c r="W106" s="9"/>
      <c r="X106" s="9"/>
      <c r="Y106" s="9"/>
      <c r="AA106" s="21"/>
      <c r="AB106" s="21"/>
      <c r="AC106" s="21"/>
    </row>
    <row r="107" spans="1:29" x14ac:dyDescent="0.2">
      <c r="A107" s="24"/>
      <c r="B107" s="24"/>
      <c r="C107" s="24"/>
      <c r="D107" s="40" t="s">
        <v>450</v>
      </c>
      <c r="E107" s="35"/>
      <c r="F107" s="74">
        <f>390</f>
        <v>390</v>
      </c>
      <c r="G107" s="30"/>
      <c r="H107" s="9"/>
      <c r="I107" s="9"/>
      <c r="J107" s="9"/>
      <c r="K107" s="19"/>
      <c r="L107" s="9"/>
      <c r="W107" s="9"/>
      <c r="X107" s="9"/>
      <c r="Y107" s="9"/>
      <c r="AA107" s="21"/>
      <c r="AB107" s="21"/>
      <c r="AC107" s="21"/>
    </row>
    <row r="108" spans="1:29" x14ac:dyDescent="0.2">
      <c r="A108" s="24" t="s">
        <v>38</v>
      </c>
      <c r="B108" s="24"/>
      <c r="C108" s="24" t="s">
        <v>95</v>
      </c>
      <c r="D108" s="29" t="s">
        <v>344</v>
      </c>
      <c r="E108" s="35" t="s">
        <v>156</v>
      </c>
      <c r="F108" s="30">
        <f>SUM(F109:F110)</f>
        <v>362.3</v>
      </c>
      <c r="G108" s="30">
        <v>0</v>
      </c>
      <c r="H108" s="9">
        <f>+F108*G108*0.7</f>
        <v>0</v>
      </c>
      <c r="I108" s="9">
        <f>J108-H108</f>
        <v>0</v>
      </c>
      <c r="J108" s="9">
        <f>ROUND(F108*G108,2)</f>
        <v>0</v>
      </c>
      <c r="K108" s="19"/>
      <c r="L108" s="9"/>
      <c r="W108" s="9"/>
      <c r="X108" s="9"/>
      <c r="Y108" s="9"/>
      <c r="AA108" s="21"/>
      <c r="AB108" s="21"/>
      <c r="AC108" s="21"/>
    </row>
    <row r="109" spans="1:29" x14ac:dyDescent="0.2">
      <c r="A109" s="24"/>
      <c r="B109" s="24"/>
      <c r="C109" s="24"/>
      <c r="D109" s="40" t="s">
        <v>448</v>
      </c>
      <c r="E109" s="35"/>
      <c r="F109" s="74">
        <f>342</f>
        <v>342</v>
      </c>
      <c r="G109" s="30"/>
      <c r="H109" s="9"/>
      <c r="I109" s="9"/>
      <c r="J109" s="9"/>
      <c r="K109" s="19"/>
      <c r="L109" s="9"/>
      <c r="W109" s="9"/>
      <c r="X109" s="9"/>
      <c r="Y109" s="9"/>
      <c r="AA109" s="21"/>
      <c r="AB109" s="21"/>
      <c r="AC109" s="21"/>
    </row>
    <row r="110" spans="1:29" x14ac:dyDescent="0.2">
      <c r="A110" s="24"/>
      <c r="B110" s="24"/>
      <c r="C110" s="24"/>
      <c r="D110" s="40" t="s">
        <v>451</v>
      </c>
      <c r="E110" s="35"/>
      <c r="F110" s="74">
        <f>20.3</f>
        <v>20.3</v>
      </c>
      <c r="G110" s="30"/>
      <c r="H110" s="9"/>
      <c r="I110" s="9"/>
      <c r="J110" s="9"/>
      <c r="K110" s="19"/>
      <c r="L110" s="9"/>
      <c r="W110" s="9"/>
      <c r="X110" s="9"/>
      <c r="Y110" s="9"/>
      <c r="AA110" s="21"/>
      <c r="AB110" s="21"/>
      <c r="AC110" s="21"/>
    </row>
    <row r="111" spans="1:29" x14ac:dyDescent="0.2">
      <c r="A111" s="24" t="s">
        <v>39</v>
      </c>
      <c r="B111" s="24"/>
      <c r="C111" s="24" t="s">
        <v>286</v>
      </c>
      <c r="D111" s="29" t="s">
        <v>287</v>
      </c>
      <c r="E111" s="35" t="s">
        <v>156</v>
      </c>
      <c r="F111" s="30">
        <f>SUM(F112:F114)</f>
        <v>1960.5</v>
      </c>
      <c r="G111" s="30">
        <v>0</v>
      </c>
      <c r="H111" s="9">
        <f>+F111*G111*0.7</f>
        <v>0</v>
      </c>
      <c r="I111" s="9">
        <f>J111-H111</f>
        <v>0</v>
      </c>
      <c r="J111" s="9">
        <f>ROUND(F111*G111,2)</f>
        <v>0</v>
      </c>
      <c r="K111" s="19"/>
      <c r="L111" s="9"/>
      <c r="W111" s="9"/>
      <c r="X111" s="9"/>
      <c r="Y111" s="9"/>
      <c r="AA111" s="21"/>
      <c r="AB111" s="21"/>
      <c r="AC111" s="21"/>
    </row>
    <row r="112" spans="1:29" x14ac:dyDescent="0.2">
      <c r="A112" s="24"/>
      <c r="B112" s="24"/>
      <c r="C112" s="24"/>
      <c r="D112" s="40" t="s">
        <v>449</v>
      </c>
      <c r="E112" s="35"/>
      <c r="F112" s="74">
        <f>1210</f>
        <v>1210</v>
      </c>
      <c r="G112" s="30"/>
      <c r="H112" s="9"/>
      <c r="I112" s="9"/>
      <c r="J112" s="9"/>
      <c r="K112" s="19"/>
      <c r="L112" s="9"/>
      <c r="W112" s="9"/>
      <c r="X112" s="9"/>
      <c r="Y112" s="9"/>
      <c r="AA112" s="21"/>
      <c r="AB112" s="21"/>
      <c r="AC112" s="21"/>
    </row>
    <row r="113" spans="1:34" x14ac:dyDescent="0.2">
      <c r="A113" s="24"/>
      <c r="B113" s="24"/>
      <c r="C113" s="24"/>
      <c r="D113" s="40" t="s">
        <v>450</v>
      </c>
      <c r="E113" s="35"/>
      <c r="F113" s="74">
        <f>390</f>
        <v>390</v>
      </c>
      <c r="G113" s="30"/>
      <c r="H113" s="9"/>
      <c r="I113" s="9"/>
      <c r="J113" s="9"/>
      <c r="K113" s="19"/>
      <c r="L113" s="9"/>
      <c r="W113" s="9"/>
      <c r="X113" s="9"/>
      <c r="Y113" s="9"/>
      <c r="AA113" s="21"/>
      <c r="AB113" s="21"/>
      <c r="AC113" s="21"/>
    </row>
    <row r="114" spans="1:34" x14ac:dyDescent="0.2">
      <c r="A114" s="24"/>
      <c r="B114" s="24"/>
      <c r="C114" s="24"/>
      <c r="D114" s="40" t="s">
        <v>447</v>
      </c>
      <c r="E114" s="35"/>
      <c r="F114" s="74">
        <f>360.5</f>
        <v>360.5</v>
      </c>
      <c r="G114" s="30"/>
      <c r="H114" s="9"/>
      <c r="I114" s="9"/>
      <c r="J114" s="9"/>
      <c r="K114" s="19"/>
      <c r="L114" s="9"/>
      <c r="W114" s="9"/>
      <c r="X114" s="9"/>
      <c r="Y114" s="9"/>
      <c r="AA114" s="21"/>
      <c r="AB114" s="21"/>
      <c r="AC114" s="21"/>
    </row>
    <row r="115" spans="1:34" s="87" customFormat="1" ht="31.9" customHeight="1" x14ac:dyDescent="0.2">
      <c r="A115" s="82" t="s">
        <v>40</v>
      </c>
      <c r="B115" s="82"/>
      <c r="C115" s="82" t="s">
        <v>294</v>
      </c>
      <c r="D115" s="83" t="s">
        <v>295</v>
      </c>
      <c r="E115" s="84" t="s">
        <v>156</v>
      </c>
      <c r="F115" s="85">
        <v>20.3</v>
      </c>
      <c r="G115" s="85">
        <v>0</v>
      </c>
      <c r="H115" s="86">
        <f>+F115*G115*0.7</f>
        <v>0</v>
      </c>
      <c r="I115" s="86">
        <f>J115-H115</f>
        <v>0</v>
      </c>
      <c r="J115" s="86">
        <f>ROUND(F115*G115,2)</f>
        <v>0</v>
      </c>
      <c r="K115" s="90"/>
      <c r="L115" s="86"/>
      <c r="W115" s="86"/>
      <c r="X115" s="86"/>
      <c r="Y115" s="86"/>
      <c r="AA115" s="86"/>
      <c r="AB115" s="86"/>
      <c r="AC115" s="86"/>
    </row>
    <row r="116" spans="1:34" x14ac:dyDescent="0.2">
      <c r="A116" s="25"/>
      <c r="B116" s="25"/>
      <c r="C116" s="26" t="s">
        <v>30</v>
      </c>
      <c r="D116" s="162" t="s">
        <v>131</v>
      </c>
      <c r="E116" s="162"/>
      <c r="F116" s="162"/>
      <c r="G116" s="162"/>
      <c r="H116" s="22">
        <f>SUM(H117:H126)</f>
        <v>0</v>
      </c>
      <c r="I116" s="22">
        <f>SUM(I117:I126)</f>
        <v>0</v>
      </c>
      <c r="J116" s="22">
        <f>H116+I116</f>
        <v>0</v>
      </c>
      <c r="M116" s="22">
        <f>IF(N116="PR",J116,SUM(L117:L117))</f>
        <v>0</v>
      </c>
      <c r="N116" s="16" t="s">
        <v>180</v>
      </c>
      <c r="O116" s="22">
        <f>IF(N116="HS",H116,0)</f>
        <v>0</v>
      </c>
      <c r="P116" s="22">
        <f>IF(N116="HS",I116-M116,0)</f>
        <v>0</v>
      </c>
      <c r="Q116" s="22">
        <f>IF(N116="PS",H116,0)</f>
        <v>0</v>
      </c>
      <c r="R116" s="22">
        <f>IF(N116="PS",I116-M116,0)</f>
        <v>0</v>
      </c>
      <c r="S116" s="22">
        <f>IF(N116="MP",H116,0)</f>
        <v>0</v>
      </c>
      <c r="T116" s="22">
        <f>IF(N116="MP",I116-M116,0)</f>
        <v>0</v>
      </c>
      <c r="U116" s="22">
        <f>IF(N116="OM",H116,0)</f>
        <v>0</v>
      </c>
      <c r="V116" s="16" t="s">
        <v>68</v>
      </c>
      <c r="AF116" s="22">
        <f>SUM(W117:W117)</f>
        <v>0</v>
      </c>
      <c r="AG116" s="22">
        <f>SUM(X117:X117)</f>
        <v>0</v>
      </c>
      <c r="AH116" s="22">
        <f>SUM(Y117:Y117)</f>
        <v>0</v>
      </c>
    </row>
    <row r="117" spans="1:34" ht="25.5" x14ac:dyDescent="0.2">
      <c r="A117" s="24" t="s">
        <v>416</v>
      </c>
      <c r="B117" s="24"/>
      <c r="C117" s="24" t="s">
        <v>84</v>
      </c>
      <c r="D117" s="29" t="s">
        <v>452</v>
      </c>
      <c r="E117" s="35" t="s">
        <v>155</v>
      </c>
      <c r="F117" s="30">
        <f>SUM(F118:F124)</f>
        <v>61.515999999999998</v>
      </c>
      <c r="G117" s="30">
        <v>0</v>
      </c>
      <c r="H117" s="9">
        <f>ROUND(F117*AB117,2)</f>
        <v>0</v>
      </c>
      <c r="I117" s="9">
        <f>J117-H117</f>
        <v>0</v>
      </c>
      <c r="J117" s="9">
        <f>ROUND(F117*G117,2)</f>
        <v>0</v>
      </c>
      <c r="K117" s="19" t="s">
        <v>7</v>
      </c>
      <c r="L117" s="9">
        <f>IF(K117="5",I117,0)</f>
        <v>0</v>
      </c>
      <c r="W117" s="9">
        <f>IF(AA117=0,J117,0)</f>
        <v>0</v>
      </c>
      <c r="X117" s="9">
        <f>IF(AA117=15,J117,0)</f>
        <v>0</v>
      </c>
      <c r="Y117" s="9">
        <f>IF(AA117=21,J117,0)</f>
        <v>0</v>
      </c>
      <c r="AA117" s="21">
        <v>21</v>
      </c>
      <c r="AB117" s="21">
        <f>G117*0.927855711422846</f>
        <v>0</v>
      </c>
      <c r="AC117" s="21">
        <f>G117*(1-0.927855711422846)</f>
        <v>0</v>
      </c>
    </row>
    <row r="118" spans="1:34" x14ac:dyDescent="0.2">
      <c r="A118" s="24"/>
      <c r="B118" s="24"/>
      <c r="C118" s="24"/>
      <c r="D118" s="40" t="s">
        <v>309</v>
      </c>
      <c r="E118" s="35"/>
      <c r="F118" s="74">
        <f>(0.6*0.6*1)*111</f>
        <v>39.96</v>
      </c>
      <c r="G118" s="30"/>
      <c r="H118" s="9"/>
      <c r="I118" s="9"/>
      <c r="J118" s="9"/>
      <c r="K118" s="19"/>
      <c r="L118" s="9"/>
      <c r="W118" s="9"/>
      <c r="X118" s="9"/>
      <c r="Y118" s="9"/>
      <c r="AA118" s="21"/>
      <c r="AB118" s="21"/>
      <c r="AC118" s="21"/>
    </row>
    <row r="119" spans="1:34" x14ac:dyDescent="0.2">
      <c r="A119" s="24"/>
      <c r="B119" s="24"/>
      <c r="C119" s="24"/>
      <c r="D119" s="40" t="s">
        <v>345</v>
      </c>
      <c r="E119" s="35"/>
      <c r="F119" s="74">
        <f>(1*1*1)*4</f>
        <v>4</v>
      </c>
      <c r="G119" s="30"/>
      <c r="H119" s="9"/>
      <c r="I119" s="9"/>
      <c r="J119" s="9"/>
      <c r="K119" s="19"/>
      <c r="L119" s="9"/>
      <c r="W119" s="9"/>
      <c r="X119" s="9"/>
      <c r="Y119" s="9"/>
      <c r="AA119" s="21"/>
      <c r="AB119" s="21"/>
      <c r="AC119" s="21"/>
    </row>
    <row r="120" spans="1:34" x14ac:dyDescent="0.2">
      <c r="A120" s="24"/>
      <c r="B120" s="24"/>
      <c r="C120" s="24"/>
      <c r="D120" s="40" t="s">
        <v>310</v>
      </c>
      <c r="E120" s="35"/>
      <c r="F120" s="74">
        <f>(0.6*0.6*1)*13</f>
        <v>4.68</v>
      </c>
      <c r="G120" s="30"/>
      <c r="H120" s="9"/>
      <c r="I120" s="9"/>
      <c r="J120" s="9"/>
      <c r="K120" s="19"/>
      <c r="L120" s="9"/>
      <c r="W120" s="9"/>
      <c r="X120" s="9"/>
      <c r="Y120" s="9"/>
      <c r="AA120" s="21"/>
      <c r="AB120" s="21"/>
      <c r="AC120" s="21"/>
    </row>
    <row r="121" spans="1:34" x14ac:dyDescent="0.2">
      <c r="A121" s="24"/>
      <c r="B121" s="24"/>
      <c r="C121" s="24"/>
      <c r="D121" s="40" t="s">
        <v>311</v>
      </c>
      <c r="E121" s="35"/>
      <c r="F121" s="74">
        <f>(0.6*0.6*0.8)*34</f>
        <v>9.7919999999999998</v>
      </c>
      <c r="G121" s="30"/>
      <c r="H121" s="9"/>
      <c r="I121" s="9"/>
      <c r="J121" s="9"/>
      <c r="K121" s="19"/>
      <c r="L121" s="9"/>
      <c r="W121" s="9"/>
      <c r="X121" s="9"/>
      <c r="Y121" s="9"/>
      <c r="AA121" s="21"/>
      <c r="AB121" s="21"/>
      <c r="AC121" s="21"/>
    </row>
    <row r="122" spans="1:34" x14ac:dyDescent="0.2">
      <c r="A122" s="24"/>
      <c r="B122" s="24"/>
      <c r="C122" s="24"/>
      <c r="D122" s="40" t="s">
        <v>312</v>
      </c>
      <c r="E122" s="35"/>
      <c r="F122" s="74">
        <f>(0.4*0.4*0.8)*3</f>
        <v>0.38400000000000012</v>
      </c>
      <c r="G122" s="30"/>
      <c r="H122" s="9"/>
      <c r="I122" s="9"/>
      <c r="J122" s="9"/>
      <c r="K122" s="19"/>
      <c r="L122" s="9"/>
      <c r="W122" s="9"/>
      <c r="X122" s="9"/>
      <c r="Y122" s="9"/>
      <c r="AA122" s="21"/>
      <c r="AB122" s="21"/>
      <c r="AC122" s="21"/>
    </row>
    <row r="123" spans="1:34" x14ac:dyDescent="0.2">
      <c r="A123" s="24"/>
      <c r="B123" s="24"/>
      <c r="C123" s="24"/>
      <c r="D123" s="40" t="s">
        <v>313</v>
      </c>
      <c r="E123" s="35"/>
      <c r="F123" s="74">
        <f>(0.5*0.5*0.9)*8</f>
        <v>1.8</v>
      </c>
      <c r="G123" s="30"/>
      <c r="H123" s="9"/>
      <c r="I123" s="9"/>
      <c r="J123" s="9"/>
      <c r="K123" s="19"/>
      <c r="L123" s="9"/>
      <c r="W123" s="9"/>
      <c r="X123" s="9"/>
      <c r="Y123" s="9"/>
      <c r="AA123" s="21"/>
      <c r="AB123" s="21"/>
      <c r="AC123" s="21"/>
    </row>
    <row r="124" spans="1:34" x14ac:dyDescent="0.2">
      <c r="A124" s="24"/>
      <c r="B124" s="24"/>
      <c r="C124" s="24"/>
      <c r="D124" s="40" t="s">
        <v>314</v>
      </c>
      <c r="E124" s="35"/>
      <c r="F124" s="74">
        <f>(0.5*0.5*0.9)*4</f>
        <v>0.9</v>
      </c>
      <c r="G124" s="30"/>
      <c r="H124" s="9"/>
      <c r="I124" s="9"/>
      <c r="J124" s="9"/>
      <c r="K124" s="19"/>
      <c r="L124" s="9"/>
      <c r="W124" s="9"/>
      <c r="X124" s="9"/>
      <c r="Y124" s="9"/>
      <c r="AA124" s="21"/>
      <c r="AB124" s="21"/>
      <c r="AC124" s="21"/>
    </row>
    <row r="125" spans="1:34" ht="25.5" x14ac:dyDescent="0.2">
      <c r="A125" s="24" t="s">
        <v>41</v>
      </c>
      <c r="B125" s="24"/>
      <c r="C125" s="24" t="s">
        <v>465</v>
      </c>
      <c r="D125" s="29" t="s">
        <v>315</v>
      </c>
      <c r="E125" s="35" t="s">
        <v>155</v>
      </c>
      <c r="F125" s="30">
        <f>+F126</f>
        <v>5.19</v>
      </c>
      <c r="G125" s="30">
        <v>0</v>
      </c>
      <c r="H125" s="9">
        <f>ROUND(F125*AB125,2)</f>
        <v>0</v>
      </c>
      <c r="I125" s="9">
        <f>J125-H125</f>
        <v>0</v>
      </c>
      <c r="J125" s="9">
        <f>ROUND(F125*G125,2)</f>
        <v>0</v>
      </c>
      <c r="K125" s="19"/>
      <c r="L125" s="9"/>
      <c r="W125" s="9"/>
      <c r="X125" s="9"/>
      <c r="Y125" s="9"/>
      <c r="AA125" s="21"/>
      <c r="AB125" s="21"/>
      <c r="AC125" s="21"/>
    </row>
    <row r="126" spans="1:34" x14ac:dyDescent="0.2">
      <c r="A126" s="24"/>
      <c r="B126" s="24"/>
      <c r="C126" s="24"/>
      <c r="D126" s="40" t="s">
        <v>316</v>
      </c>
      <c r="E126" s="35"/>
      <c r="F126" s="74">
        <v>5.19</v>
      </c>
      <c r="G126" s="30"/>
      <c r="H126" s="9"/>
      <c r="I126" s="9"/>
      <c r="J126" s="9"/>
      <c r="K126" s="19"/>
      <c r="L126" s="9"/>
      <c r="W126" s="9"/>
      <c r="X126" s="9"/>
      <c r="Y126" s="9"/>
      <c r="AA126" s="21"/>
      <c r="AB126" s="21"/>
      <c r="AC126" s="21"/>
    </row>
    <row r="127" spans="1:34" x14ac:dyDescent="0.2">
      <c r="A127" s="25"/>
      <c r="B127" s="25"/>
      <c r="C127" s="26" t="s">
        <v>85</v>
      </c>
      <c r="D127" s="162" t="s">
        <v>132</v>
      </c>
      <c r="E127" s="162"/>
      <c r="F127" s="162"/>
      <c r="G127" s="162"/>
      <c r="H127" s="22">
        <f>SUM(H128:H146)</f>
        <v>0</v>
      </c>
      <c r="I127" s="22">
        <f>SUM(I128:I146)</f>
        <v>0</v>
      </c>
      <c r="J127" s="22">
        <f>H127+I127</f>
        <v>0</v>
      </c>
      <c r="M127" s="22">
        <f>IF(N127="PR",J127,SUM(L128:L143))</f>
        <v>0</v>
      </c>
      <c r="N127" s="16" t="s">
        <v>182</v>
      </c>
      <c r="O127" s="22">
        <f>IF(N127="HS",H127,0)</f>
        <v>0</v>
      </c>
      <c r="P127" s="22">
        <f>IF(N127="HS",I127-M127,0)</f>
        <v>0</v>
      </c>
      <c r="Q127" s="22">
        <f>IF(N127="PS",H127,0)</f>
        <v>0</v>
      </c>
      <c r="R127" s="22">
        <f>IF(N127="PS",I127-M127,0)</f>
        <v>0</v>
      </c>
      <c r="S127" s="22">
        <f>IF(N127="MP",H127,0)</f>
        <v>0</v>
      </c>
      <c r="T127" s="22">
        <f>IF(N127="MP",I127-M127,0)</f>
        <v>0</v>
      </c>
      <c r="U127" s="22">
        <f>IF(N127="OM",H127,0)</f>
        <v>0</v>
      </c>
      <c r="V127" s="16" t="s">
        <v>68</v>
      </c>
      <c r="AF127" s="22">
        <f>SUM(W128:W143)</f>
        <v>0</v>
      </c>
      <c r="AG127" s="22">
        <f>SUM(X128:X143)</f>
        <v>0</v>
      </c>
      <c r="AH127" s="22">
        <f>SUM(Y128:Y143)</f>
        <v>0</v>
      </c>
    </row>
    <row r="128" spans="1:34" x14ac:dyDescent="0.2">
      <c r="A128" s="24" t="s">
        <v>42</v>
      </c>
      <c r="B128" s="24"/>
      <c r="C128" s="24" t="s">
        <v>86</v>
      </c>
      <c r="D128" s="29" t="s">
        <v>133</v>
      </c>
      <c r="E128" s="35" t="s">
        <v>158</v>
      </c>
      <c r="F128" s="30">
        <f>F129</f>
        <v>91.3</v>
      </c>
      <c r="G128" s="30">
        <v>0</v>
      </c>
      <c r="H128" s="9">
        <f>ROUND(F128*AB128,2)</f>
        <v>0</v>
      </c>
      <c r="I128" s="9">
        <f>J128-H128</f>
        <v>0</v>
      </c>
      <c r="J128" s="9">
        <f>ROUND(F128*G128,2)</f>
        <v>0</v>
      </c>
      <c r="K128" s="19" t="s">
        <v>8</v>
      </c>
      <c r="L128" s="9">
        <f>IF(K128="5",I128,0)</f>
        <v>0</v>
      </c>
      <c r="W128" s="9">
        <f>IF(AA128=0,J128,0)</f>
        <v>0</v>
      </c>
      <c r="X128" s="9">
        <f>IF(AA128=15,J128,0)</f>
        <v>0</v>
      </c>
      <c r="Y128" s="9">
        <f>IF(AA128=21,J128,0)</f>
        <v>0</v>
      </c>
      <c r="AA128" s="21">
        <v>21</v>
      </c>
      <c r="AB128" s="21">
        <f>G128*0</f>
        <v>0</v>
      </c>
      <c r="AC128" s="21">
        <f>G128*(1-0)</f>
        <v>0</v>
      </c>
    </row>
    <row r="129" spans="1:29" x14ac:dyDescent="0.2">
      <c r="A129" s="24"/>
      <c r="B129" s="24"/>
      <c r="C129" s="24"/>
      <c r="D129" s="40" t="s">
        <v>328</v>
      </c>
      <c r="E129" s="35"/>
      <c r="F129" s="74">
        <f>77+6.8+7.5</f>
        <v>91.3</v>
      </c>
      <c r="G129" s="30"/>
      <c r="H129" s="9"/>
      <c r="I129" s="9"/>
      <c r="J129" s="9"/>
      <c r="K129" s="19"/>
      <c r="L129" s="9"/>
      <c r="W129" s="9"/>
      <c r="X129" s="9"/>
      <c r="Y129" s="9"/>
      <c r="AA129" s="21"/>
      <c r="AB129" s="21"/>
      <c r="AC129" s="21"/>
    </row>
    <row r="130" spans="1:29" ht="25.5" x14ac:dyDescent="0.2">
      <c r="A130" s="24" t="s">
        <v>43</v>
      </c>
      <c r="B130" s="24"/>
      <c r="C130" s="24" t="s">
        <v>220</v>
      </c>
      <c r="D130" s="29" t="s">
        <v>327</v>
      </c>
      <c r="E130" s="35" t="s">
        <v>156</v>
      </c>
      <c r="F130" s="30">
        <f>F131</f>
        <v>156.20000000000002</v>
      </c>
      <c r="G130" s="30">
        <v>0</v>
      </c>
      <c r="H130" s="9">
        <f>ROUND(F130*AB130,2)</f>
        <v>0</v>
      </c>
      <c r="I130" s="9">
        <f>J130-H130</f>
        <v>0</v>
      </c>
      <c r="J130" s="9">
        <f>ROUND(F130*G130,2)</f>
        <v>0</v>
      </c>
      <c r="K130" s="19" t="s">
        <v>177</v>
      </c>
      <c r="L130" s="9">
        <f>IF(K130="5",I130,0)</f>
        <v>0</v>
      </c>
      <c r="W130" s="9">
        <f>IF(AA130=0,J130,0)</f>
        <v>0</v>
      </c>
      <c r="X130" s="9">
        <f>IF(AA130=15,J130,0)</f>
        <v>0</v>
      </c>
      <c r="Y130" s="9">
        <f>IF(AA130=21,J130,0)</f>
        <v>0</v>
      </c>
      <c r="AA130" s="21">
        <v>21</v>
      </c>
      <c r="AB130" s="21">
        <f>G130*1</f>
        <v>0</v>
      </c>
      <c r="AC130" s="21">
        <f>G130*(1-1)</f>
        <v>0</v>
      </c>
    </row>
    <row r="131" spans="1:29" x14ac:dyDescent="0.2">
      <c r="A131" s="24"/>
      <c r="B131" s="24"/>
      <c r="C131" s="24"/>
      <c r="D131" s="40" t="s">
        <v>317</v>
      </c>
      <c r="E131" s="35"/>
      <c r="F131" s="74">
        <f>142*1.1</f>
        <v>156.20000000000002</v>
      </c>
      <c r="G131" s="30"/>
      <c r="H131" s="9"/>
      <c r="I131" s="9"/>
      <c r="J131" s="9"/>
      <c r="K131" s="19"/>
      <c r="L131" s="9"/>
      <c r="W131" s="9"/>
      <c r="X131" s="9"/>
      <c r="Y131" s="9"/>
      <c r="AA131" s="21"/>
      <c r="AB131" s="21"/>
      <c r="AC131" s="21"/>
    </row>
    <row r="132" spans="1:29" s="87" customFormat="1" ht="38.25" x14ac:dyDescent="0.2">
      <c r="A132" s="82" t="s">
        <v>44</v>
      </c>
      <c r="B132" s="82"/>
      <c r="C132" s="82" t="s">
        <v>221</v>
      </c>
      <c r="D132" s="83" t="s">
        <v>342</v>
      </c>
      <c r="E132" s="84" t="s">
        <v>159</v>
      </c>
      <c r="F132" s="85">
        <v>111</v>
      </c>
      <c r="G132" s="85">
        <v>0</v>
      </c>
      <c r="H132" s="86">
        <f t="shared" ref="H132:H137" si="2">ROUND(F132*AB132,2)</f>
        <v>0</v>
      </c>
      <c r="I132" s="86">
        <f t="shared" ref="I132:I137" si="3">J132-H132</f>
        <v>0</v>
      </c>
      <c r="J132" s="86">
        <f t="shared" ref="J132:J137" si="4">ROUND(F132*G132,2)</f>
        <v>0</v>
      </c>
      <c r="K132" s="90"/>
      <c r="L132" s="86"/>
      <c r="W132" s="86"/>
      <c r="X132" s="86"/>
      <c r="Y132" s="86"/>
      <c r="AA132" s="86"/>
      <c r="AB132" s="86"/>
      <c r="AC132" s="86"/>
    </row>
    <row r="133" spans="1:29" s="87" customFormat="1" ht="38.25" x14ac:dyDescent="0.2">
      <c r="A133" s="82" t="s">
        <v>45</v>
      </c>
      <c r="B133" s="82"/>
      <c r="C133" s="82" t="s">
        <v>472</v>
      </c>
      <c r="D133" s="83" t="s">
        <v>343</v>
      </c>
      <c r="E133" s="84" t="s">
        <v>159</v>
      </c>
      <c r="F133" s="85">
        <v>4</v>
      </c>
      <c r="G133" s="85">
        <v>0</v>
      </c>
      <c r="H133" s="86">
        <f t="shared" si="2"/>
        <v>0</v>
      </c>
      <c r="I133" s="86">
        <f t="shared" si="3"/>
        <v>0</v>
      </c>
      <c r="J133" s="86">
        <f t="shared" si="4"/>
        <v>0</v>
      </c>
      <c r="K133" s="90"/>
      <c r="L133" s="86"/>
      <c r="W133" s="86"/>
      <c r="X133" s="86"/>
      <c r="Y133" s="86"/>
      <c r="AA133" s="86"/>
      <c r="AB133" s="86"/>
      <c r="AC133" s="86"/>
    </row>
    <row r="134" spans="1:29" s="87" customFormat="1" ht="25.5" x14ac:dyDescent="0.2">
      <c r="A134" s="82" t="s">
        <v>46</v>
      </c>
      <c r="B134" s="82"/>
      <c r="C134" s="82" t="s">
        <v>473</v>
      </c>
      <c r="D134" s="83" t="s">
        <v>319</v>
      </c>
      <c r="E134" s="84" t="s">
        <v>159</v>
      </c>
      <c r="F134" s="85">
        <v>13</v>
      </c>
      <c r="G134" s="85">
        <v>0</v>
      </c>
      <c r="H134" s="86">
        <f t="shared" si="2"/>
        <v>0</v>
      </c>
      <c r="I134" s="86">
        <f t="shared" si="3"/>
        <v>0</v>
      </c>
      <c r="J134" s="86">
        <f t="shared" si="4"/>
        <v>0</v>
      </c>
      <c r="K134" s="90" t="s">
        <v>177</v>
      </c>
      <c r="L134" s="86">
        <f>IF(K134="5",I134,0)</f>
        <v>0</v>
      </c>
      <c r="W134" s="86">
        <f>IF(AA134=0,J134,0)</f>
        <v>0</v>
      </c>
      <c r="X134" s="86">
        <f>IF(AA134=15,J134,0)</f>
        <v>0</v>
      </c>
      <c r="Y134" s="86">
        <f>IF(AA134=21,J134,0)</f>
        <v>0</v>
      </c>
      <c r="AA134" s="86">
        <v>21</v>
      </c>
      <c r="AB134" s="86">
        <f>G134*1</f>
        <v>0</v>
      </c>
      <c r="AC134" s="86">
        <f>G134*(1-1)</f>
        <v>0</v>
      </c>
    </row>
    <row r="135" spans="1:29" ht="25.5" x14ac:dyDescent="0.2">
      <c r="A135" s="28" t="s">
        <v>47</v>
      </c>
      <c r="B135" s="28"/>
      <c r="C135" s="24" t="s">
        <v>318</v>
      </c>
      <c r="D135" s="29" t="s">
        <v>325</v>
      </c>
      <c r="E135" s="35" t="s">
        <v>159</v>
      </c>
      <c r="F135" s="30">
        <v>60</v>
      </c>
      <c r="G135" s="30">
        <v>0</v>
      </c>
      <c r="H135" s="86">
        <f t="shared" si="2"/>
        <v>0</v>
      </c>
      <c r="I135" s="86">
        <f t="shared" si="3"/>
        <v>0</v>
      </c>
      <c r="J135" s="86">
        <f t="shared" si="4"/>
        <v>0</v>
      </c>
      <c r="K135" s="20"/>
      <c r="L135" s="10"/>
      <c r="W135" s="10"/>
      <c r="X135" s="10"/>
      <c r="Y135" s="10"/>
      <c r="AA135" s="21"/>
      <c r="AB135" s="21"/>
      <c r="AC135" s="21"/>
    </row>
    <row r="136" spans="1:29" ht="25.5" x14ac:dyDescent="0.2">
      <c r="A136" s="28" t="s">
        <v>48</v>
      </c>
      <c r="B136" s="28"/>
      <c r="C136" s="24" t="s">
        <v>318</v>
      </c>
      <c r="D136" s="29" t="s">
        <v>324</v>
      </c>
      <c r="E136" s="35" t="s">
        <v>159</v>
      </c>
      <c r="F136" s="30">
        <v>60</v>
      </c>
      <c r="G136" s="30">
        <v>0</v>
      </c>
      <c r="H136" s="86">
        <f t="shared" si="2"/>
        <v>0</v>
      </c>
      <c r="I136" s="86">
        <f t="shared" si="3"/>
        <v>0</v>
      </c>
      <c r="J136" s="86">
        <f t="shared" si="4"/>
        <v>0</v>
      </c>
      <c r="K136" s="20"/>
      <c r="L136" s="10"/>
      <c r="W136" s="10"/>
      <c r="X136" s="10"/>
      <c r="Y136" s="10"/>
      <c r="AA136" s="21"/>
      <c r="AB136" s="21"/>
      <c r="AC136" s="21"/>
    </row>
    <row r="137" spans="1:29" ht="24" customHeight="1" x14ac:dyDescent="0.2">
      <c r="A137" s="28" t="s">
        <v>49</v>
      </c>
      <c r="B137" s="28"/>
      <c r="C137" s="24" t="s">
        <v>322</v>
      </c>
      <c r="D137" s="29" t="s">
        <v>321</v>
      </c>
      <c r="E137" s="35" t="s">
        <v>159</v>
      </c>
      <c r="F137" s="30">
        <f>F135+F136</f>
        <v>120</v>
      </c>
      <c r="G137" s="30">
        <v>0</v>
      </c>
      <c r="H137" s="86">
        <f t="shared" si="2"/>
        <v>0</v>
      </c>
      <c r="I137" s="86">
        <f t="shared" si="3"/>
        <v>0</v>
      </c>
      <c r="J137" s="86">
        <f t="shared" si="4"/>
        <v>0</v>
      </c>
      <c r="K137" s="20"/>
      <c r="L137" s="10"/>
      <c r="W137" s="10"/>
      <c r="X137" s="10"/>
      <c r="Y137" s="10"/>
      <c r="AA137" s="21"/>
      <c r="AB137" s="21"/>
      <c r="AC137" s="21"/>
    </row>
    <row r="138" spans="1:29" ht="18.600000000000001" customHeight="1" x14ac:dyDescent="0.2">
      <c r="A138" s="28"/>
      <c r="B138" s="28"/>
      <c r="C138" s="24"/>
      <c r="D138" s="40" t="s">
        <v>323</v>
      </c>
      <c r="E138" s="35"/>
      <c r="F138" s="74">
        <f>F135+F136</f>
        <v>120</v>
      </c>
      <c r="G138" s="30"/>
      <c r="H138" s="10"/>
      <c r="I138" s="10"/>
      <c r="J138" s="10"/>
      <c r="K138" s="20"/>
      <c r="L138" s="10"/>
      <c r="W138" s="10"/>
      <c r="X138" s="10"/>
      <c r="Y138" s="10"/>
      <c r="AA138" s="21"/>
      <c r="AB138" s="21"/>
      <c r="AC138" s="21"/>
    </row>
    <row r="139" spans="1:29" ht="33.6" customHeight="1" x14ac:dyDescent="0.2">
      <c r="A139" s="28" t="s">
        <v>50</v>
      </c>
      <c r="B139" s="28"/>
      <c r="C139" s="28" t="s">
        <v>222</v>
      </c>
      <c r="D139" s="32" t="s">
        <v>134</v>
      </c>
      <c r="E139" s="36" t="s">
        <v>159</v>
      </c>
      <c r="F139" s="33">
        <f>F142*4</f>
        <v>900</v>
      </c>
      <c r="G139" s="33">
        <v>0</v>
      </c>
      <c r="H139" s="10">
        <f>ROUND(F139*AB139,2)</f>
        <v>0</v>
      </c>
      <c r="I139" s="10">
        <f>J139-H139</f>
        <v>0</v>
      </c>
      <c r="J139" s="10">
        <f>ROUND(F139*G139,2)</f>
        <v>0</v>
      </c>
      <c r="K139" s="20" t="s">
        <v>177</v>
      </c>
      <c r="L139" s="10">
        <f>IF(K139="5",I139,0)</f>
        <v>0</v>
      </c>
      <c r="W139" s="10">
        <f>IF(AA139=0,J139,0)</f>
        <v>0</v>
      </c>
      <c r="X139" s="10">
        <f>IF(AA139=15,J139,0)</f>
        <v>0</v>
      </c>
      <c r="Y139" s="10">
        <f>IF(AA139=21,J139,0)</f>
        <v>0</v>
      </c>
      <c r="AA139" s="21">
        <v>21</v>
      </c>
      <c r="AB139" s="21">
        <f>G139*1</f>
        <v>0</v>
      </c>
      <c r="AC139" s="21">
        <f>G139*(1-1)</f>
        <v>0</v>
      </c>
    </row>
    <row r="140" spans="1:29" x14ac:dyDescent="0.2">
      <c r="A140" s="28" t="s">
        <v>51</v>
      </c>
      <c r="B140" s="28"/>
      <c r="C140" s="28" t="s">
        <v>223</v>
      </c>
      <c r="D140" s="32" t="s">
        <v>135</v>
      </c>
      <c r="E140" s="36" t="s">
        <v>160</v>
      </c>
      <c r="F140" s="33">
        <v>169</v>
      </c>
      <c r="G140" s="33">
        <v>0</v>
      </c>
      <c r="H140" s="10">
        <f>ROUND(F140*AB140,2)</f>
        <v>0</v>
      </c>
      <c r="I140" s="10">
        <f>J140-H140</f>
        <v>0</v>
      </c>
      <c r="J140" s="10">
        <f>ROUND(F140*G140,2)</f>
        <v>0</v>
      </c>
      <c r="K140" s="20" t="s">
        <v>177</v>
      </c>
      <c r="L140" s="10">
        <f>IF(K140="5",I140,0)</f>
        <v>0</v>
      </c>
      <c r="W140" s="10">
        <f>IF(AA140=0,J140,0)</f>
        <v>0</v>
      </c>
      <c r="X140" s="10">
        <f>IF(AA140=15,J140,0)</f>
        <v>0</v>
      </c>
      <c r="Y140" s="10">
        <f>IF(AA140=21,J140,0)</f>
        <v>0</v>
      </c>
      <c r="AA140" s="21">
        <v>21</v>
      </c>
      <c r="AB140" s="21">
        <f>G140*1</f>
        <v>0</v>
      </c>
      <c r="AC140" s="21">
        <f>G140*(1-1)</f>
        <v>0</v>
      </c>
    </row>
    <row r="141" spans="1:29" ht="25.5" x14ac:dyDescent="0.2">
      <c r="A141" s="28" t="s">
        <v>52</v>
      </c>
      <c r="B141" s="28"/>
      <c r="C141" s="28" t="s">
        <v>224</v>
      </c>
      <c r="D141" s="32" t="s">
        <v>288</v>
      </c>
      <c r="E141" s="36" t="s">
        <v>156</v>
      </c>
      <c r="F141" s="33" t="str">
        <f>F142</f>
        <v>225</v>
      </c>
      <c r="G141" s="33">
        <v>0</v>
      </c>
      <c r="H141" s="10">
        <f>ROUND(F141*AB141,2)</f>
        <v>0</v>
      </c>
      <c r="I141" s="10">
        <f>J141-H141</f>
        <v>0</v>
      </c>
      <c r="J141" s="10">
        <f>ROUND(F141*G141,2)</f>
        <v>0</v>
      </c>
      <c r="K141" s="20" t="s">
        <v>177</v>
      </c>
      <c r="L141" s="10">
        <f>IF(K141="5",I141,0)</f>
        <v>0</v>
      </c>
      <c r="W141" s="10">
        <f>IF(AA141=0,J141,0)</f>
        <v>0</v>
      </c>
      <c r="X141" s="10">
        <f>IF(AA141=15,J141,0)</f>
        <v>0</v>
      </c>
      <c r="Y141" s="10">
        <f>IF(AA141=21,J141,0)</f>
        <v>0</v>
      </c>
      <c r="AA141" s="21">
        <v>21</v>
      </c>
      <c r="AB141" s="21">
        <f>G141*1</f>
        <v>0</v>
      </c>
      <c r="AC141" s="21">
        <f>G141*(1-1)</f>
        <v>0</v>
      </c>
    </row>
    <row r="142" spans="1:29" x14ac:dyDescent="0.2">
      <c r="A142" s="28"/>
      <c r="B142" s="28"/>
      <c r="C142" s="28"/>
      <c r="D142" s="40" t="s">
        <v>320</v>
      </c>
      <c r="E142" s="35"/>
      <c r="F142" s="40" t="s">
        <v>320</v>
      </c>
      <c r="G142" s="33"/>
      <c r="H142" s="10"/>
      <c r="I142" s="10"/>
      <c r="J142" s="10"/>
      <c r="K142" s="20"/>
      <c r="L142" s="10"/>
      <c r="W142" s="10"/>
      <c r="X142" s="10"/>
      <c r="Y142" s="10"/>
      <c r="AA142" s="21"/>
      <c r="AB142" s="21"/>
      <c r="AC142" s="21"/>
    </row>
    <row r="143" spans="1:29" x14ac:dyDescent="0.2">
      <c r="A143" s="24" t="s">
        <v>417</v>
      </c>
      <c r="B143" s="24"/>
      <c r="C143" s="24" t="s">
        <v>87</v>
      </c>
      <c r="D143" s="29" t="s">
        <v>239</v>
      </c>
      <c r="E143" s="35" t="s">
        <v>160</v>
      </c>
      <c r="F143" s="30">
        <f>F144</f>
        <v>56.106999999999999</v>
      </c>
      <c r="G143" s="30">
        <v>0</v>
      </c>
      <c r="H143" s="9">
        <f>ROUND(F143*AB143,2)</f>
        <v>0</v>
      </c>
      <c r="I143" s="9">
        <f>J143-H143</f>
        <v>0</v>
      </c>
      <c r="J143" s="9">
        <f>ROUND(F143*G143,2)</f>
        <v>0</v>
      </c>
      <c r="K143" s="19" t="s">
        <v>7</v>
      </c>
      <c r="L143" s="9">
        <f>IF(K143="5",I143,0)</f>
        <v>0</v>
      </c>
      <c r="W143" s="9">
        <f>IF(AA143=0,J143,0)</f>
        <v>0</v>
      </c>
      <c r="X143" s="9">
        <f>IF(AA143=15,J143,0)</f>
        <v>0</v>
      </c>
      <c r="Y143" s="9">
        <f>IF(AA143=21,J143,0)</f>
        <v>0</v>
      </c>
      <c r="AA143" s="21">
        <v>21</v>
      </c>
      <c r="AB143" s="21">
        <f>G143*0</f>
        <v>0</v>
      </c>
      <c r="AC143" s="21">
        <f>G143*(1-0)</f>
        <v>0</v>
      </c>
    </row>
    <row r="144" spans="1:29" ht="17.45" customHeight="1" x14ac:dyDescent="0.2">
      <c r="A144" s="24"/>
      <c r="B144" s="24"/>
      <c r="C144" s="24"/>
      <c r="D144" s="40" t="s">
        <v>329</v>
      </c>
      <c r="E144" s="35"/>
      <c r="F144" s="74">
        <f>15.036+15.036+26.035</f>
        <v>56.106999999999999</v>
      </c>
      <c r="G144" s="30"/>
      <c r="H144" s="9"/>
      <c r="I144" s="9"/>
      <c r="J144" s="9"/>
      <c r="K144" s="19"/>
      <c r="L144" s="9"/>
      <c r="W144" s="9"/>
      <c r="X144" s="9"/>
      <c r="Y144" s="9"/>
      <c r="AA144" s="21"/>
      <c r="AB144" s="21"/>
      <c r="AC144" s="21"/>
    </row>
    <row r="145" spans="1:34" ht="16.149999999999999" customHeight="1" x14ac:dyDescent="0.2">
      <c r="A145" s="28" t="s">
        <v>53</v>
      </c>
      <c r="B145" s="24"/>
      <c r="C145" s="28" t="s">
        <v>474</v>
      </c>
      <c r="D145" s="32" t="s">
        <v>326</v>
      </c>
      <c r="E145" s="36" t="s">
        <v>159</v>
      </c>
      <c r="F145" s="33" t="s">
        <v>7</v>
      </c>
      <c r="G145" s="33">
        <v>0</v>
      </c>
      <c r="H145" s="10">
        <f>+G145*F145*0.7</f>
        <v>0</v>
      </c>
      <c r="I145" s="9">
        <f>J145-H145</f>
        <v>0</v>
      </c>
      <c r="J145" s="9">
        <f>ROUND(F145*G145,2)</f>
        <v>0</v>
      </c>
      <c r="K145" s="20"/>
      <c r="L145" s="10"/>
      <c r="W145" s="10"/>
      <c r="X145" s="10"/>
      <c r="Y145" s="10"/>
      <c r="AA145" s="21"/>
      <c r="AB145" s="21"/>
      <c r="AC145" s="21"/>
    </row>
    <row r="146" spans="1:34" ht="16.899999999999999" customHeight="1" x14ac:dyDescent="0.2">
      <c r="A146" s="24" t="s">
        <v>54</v>
      </c>
      <c r="B146" s="24"/>
      <c r="C146" s="24" t="s">
        <v>225</v>
      </c>
      <c r="D146" s="32" t="s">
        <v>290</v>
      </c>
      <c r="E146" s="36" t="s">
        <v>159</v>
      </c>
      <c r="F146" s="33" t="s">
        <v>7</v>
      </c>
      <c r="G146" s="33">
        <v>0</v>
      </c>
      <c r="H146" s="10">
        <f>+G146*F146*0.7</f>
        <v>0</v>
      </c>
      <c r="I146" s="9">
        <f>J146-H146</f>
        <v>0</v>
      </c>
      <c r="J146" s="9">
        <f>ROUND(F146*G146,2)</f>
        <v>0</v>
      </c>
      <c r="K146" s="19"/>
      <c r="L146" s="9"/>
      <c r="W146" s="9"/>
      <c r="X146" s="9"/>
      <c r="Y146" s="9"/>
      <c r="AA146" s="21"/>
      <c r="AB146" s="21"/>
      <c r="AC146" s="21"/>
    </row>
    <row r="147" spans="1:34" x14ac:dyDescent="0.2">
      <c r="A147" s="25"/>
      <c r="B147" s="25"/>
      <c r="C147" s="26" t="s">
        <v>27</v>
      </c>
      <c r="D147" s="162" t="s">
        <v>128</v>
      </c>
      <c r="E147" s="162"/>
      <c r="F147" s="162"/>
      <c r="G147" s="162"/>
      <c r="H147" s="22">
        <f>SUM(H148:H150)</f>
        <v>0</v>
      </c>
      <c r="I147" s="22">
        <f>SUM(I148:I150)</f>
        <v>0</v>
      </c>
      <c r="J147" s="22">
        <f>H147+I147</f>
        <v>0</v>
      </c>
      <c r="M147" s="22">
        <f>IF(N147="PR",J147,SUM(L148:L149))</f>
        <v>0</v>
      </c>
      <c r="N147" s="16" t="s">
        <v>181</v>
      </c>
      <c r="O147" s="22">
        <f>IF(N147="HS",H147,0)</f>
        <v>0</v>
      </c>
      <c r="P147" s="22">
        <f>IF(N147="HS",I147-M147,0)</f>
        <v>0</v>
      </c>
      <c r="Q147" s="22">
        <f>IF(N147="PS",H147,0)</f>
        <v>0</v>
      </c>
      <c r="R147" s="22">
        <f>IF(N147="PS",I147-M147,0)</f>
        <v>0</v>
      </c>
      <c r="S147" s="22">
        <f>IF(N147="MP",H147,0)</f>
        <v>0</v>
      </c>
      <c r="T147" s="22">
        <f>IF(N147="MP",I147-M147,0)</f>
        <v>0</v>
      </c>
      <c r="U147" s="22">
        <f>IF(N147="OM",H147,0)</f>
        <v>0</v>
      </c>
      <c r="V147" s="16" t="s">
        <v>69</v>
      </c>
      <c r="AF147" s="22">
        <f>SUM(W148:W149)</f>
        <v>0</v>
      </c>
      <c r="AG147" s="22">
        <f>SUM(X148:X149)</f>
        <v>0</v>
      </c>
      <c r="AH147" s="22">
        <f>SUM(Y148:Y149)</f>
        <v>0</v>
      </c>
    </row>
    <row r="148" spans="1:34" x14ac:dyDescent="0.2">
      <c r="A148" s="24" t="s">
        <v>55</v>
      </c>
      <c r="B148" s="24"/>
      <c r="C148" s="24" t="s">
        <v>93</v>
      </c>
      <c r="D148" s="29" t="s">
        <v>139</v>
      </c>
      <c r="E148" s="35" t="s">
        <v>157</v>
      </c>
      <c r="F148" s="30">
        <v>50</v>
      </c>
      <c r="G148" s="30">
        <v>0</v>
      </c>
      <c r="H148" s="9">
        <f>ROUND(F148*AB148,2)</f>
        <v>0</v>
      </c>
      <c r="I148" s="9">
        <f>J148-H148</f>
        <v>0</v>
      </c>
      <c r="J148" s="9">
        <f>ROUND(F148*G148,2)</f>
        <v>0</v>
      </c>
      <c r="K148" s="19" t="s">
        <v>11</v>
      </c>
      <c r="L148" s="9">
        <f>IF(K148="5",I148,0)</f>
        <v>0</v>
      </c>
      <c r="W148" s="9">
        <f>IF(AA148=0,J148,0)</f>
        <v>0</v>
      </c>
      <c r="X148" s="9">
        <f>IF(AA148=15,J148,0)</f>
        <v>0</v>
      </c>
      <c r="Y148" s="9">
        <f>IF(AA148=21,J148,0)</f>
        <v>0</v>
      </c>
      <c r="AA148" s="21">
        <v>21</v>
      </c>
      <c r="AB148" s="21">
        <f>G148*0</f>
        <v>0</v>
      </c>
      <c r="AC148" s="21">
        <f>G148*(1-0)</f>
        <v>0</v>
      </c>
    </row>
    <row r="149" spans="1:34" x14ac:dyDescent="0.2">
      <c r="A149" s="24" t="s">
        <v>56</v>
      </c>
      <c r="B149" s="24"/>
      <c r="C149" s="24" t="s">
        <v>384</v>
      </c>
      <c r="D149" s="29" t="s">
        <v>383</v>
      </c>
      <c r="E149" s="35" t="s">
        <v>157</v>
      </c>
      <c r="F149" s="30">
        <f>251+318</f>
        <v>569</v>
      </c>
      <c r="G149" s="30">
        <v>0</v>
      </c>
      <c r="H149" s="9">
        <f>ROUND(F149*AB149,2)</f>
        <v>0</v>
      </c>
      <c r="I149" s="9">
        <f>J149-H149</f>
        <v>0</v>
      </c>
      <c r="J149" s="9">
        <f>ROUND(F149*G149,2)</f>
        <v>0</v>
      </c>
      <c r="K149" s="19" t="s">
        <v>11</v>
      </c>
      <c r="L149" s="9">
        <f>IF(K149="5",I149,0)</f>
        <v>0</v>
      </c>
      <c r="W149" s="9">
        <f>IF(AA149=0,J149,0)</f>
        <v>0</v>
      </c>
      <c r="X149" s="9">
        <f>IF(AA149=15,J149,0)</f>
        <v>0</v>
      </c>
      <c r="Y149" s="9">
        <f>IF(AA149=21,J149,0)</f>
        <v>0</v>
      </c>
      <c r="AA149" s="21">
        <v>21</v>
      </c>
      <c r="AB149" s="21">
        <f>G149*0</f>
        <v>0</v>
      </c>
      <c r="AC149" s="21">
        <f>G149*(1-0)</f>
        <v>0</v>
      </c>
    </row>
    <row r="150" spans="1:34" x14ac:dyDescent="0.2">
      <c r="A150" s="24" t="s">
        <v>57</v>
      </c>
      <c r="B150" s="24"/>
      <c r="C150" s="24" t="s">
        <v>82</v>
      </c>
      <c r="D150" s="83" t="s">
        <v>129</v>
      </c>
      <c r="E150" s="35" t="s">
        <v>157</v>
      </c>
      <c r="F150" s="30">
        <f>((F152*0.02)+(F153*0.02)+(F155*0.05)+(F156*0.05)+(F158*0.1)+(F159*0.1)+(F160*0.1)+(F161*0.1)+(F162*0.15)+(F164*0.15)+(F154*0.15)+(F168*0.15))*2</f>
        <v>1376.5870000000002</v>
      </c>
      <c r="G150" s="30">
        <v>0</v>
      </c>
      <c r="H150" s="9">
        <f>ROUND(F150*AB150,2)</f>
        <v>0</v>
      </c>
      <c r="I150" s="9">
        <f>J150-H150</f>
        <v>0</v>
      </c>
      <c r="J150" s="9">
        <f>ROUND(F150*G150,2)</f>
        <v>0</v>
      </c>
      <c r="K150" s="19" t="s">
        <v>11</v>
      </c>
      <c r="L150" s="9">
        <f>IF(K150="5",I150,0)</f>
        <v>0</v>
      </c>
      <c r="W150" s="9">
        <f>IF(AA150=0,J150,0)</f>
        <v>0</v>
      </c>
      <c r="X150" s="9">
        <f>IF(AA150=15,J150,0)</f>
        <v>0</v>
      </c>
      <c r="Y150" s="9">
        <f>IF(AA150=21,J150,0)</f>
        <v>0</v>
      </c>
      <c r="AA150" s="21">
        <v>21</v>
      </c>
      <c r="AB150" s="21">
        <f>G150*0</f>
        <v>0</v>
      </c>
      <c r="AC150" s="21">
        <f>G150*(1-0)</f>
        <v>0</v>
      </c>
    </row>
    <row r="151" spans="1:34" ht="13.15" customHeight="1" x14ac:dyDescent="0.2">
      <c r="A151" s="25"/>
      <c r="B151" s="25"/>
      <c r="C151" s="26" t="s">
        <v>57</v>
      </c>
      <c r="D151" s="162" t="s">
        <v>140</v>
      </c>
      <c r="E151" s="162"/>
      <c r="F151" s="162"/>
      <c r="G151" s="162"/>
      <c r="H151" s="22">
        <f>SUM(H152:H165)</f>
        <v>0</v>
      </c>
      <c r="I151" s="22">
        <f>SUM(I152:I165)</f>
        <v>0</v>
      </c>
      <c r="J151" s="22">
        <f>H151+I151</f>
        <v>0</v>
      </c>
      <c r="M151" s="22">
        <f>IF(N151="PR",J151,SUM(L152:L161))</f>
        <v>0</v>
      </c>
      <c r="N151" s="16" t="s">
        <v>180</v>
      </c>
      <c r="O151" s="22">
        <f>IF(N151="HS",H151,0)</f>
        <v>0</v>
      </c>
      <c r="P151" s="22">
        <f>IF(N151="HS",I151-M151,0)</f>
        <v>0</v>
      </c>
      <c r="Q151" s="22">
        <f>IF(N151="PS",H151,0)</f>
        <v>0</v>
      </c>
      <c r="R151" s="22">
        <f>IF(N151="PS",I151-M151,0)</f>
        <v>0</v>
      </c>
      <c r="S151" s="22">
        <f>IF(N151="MP",H151,0)</f>
        <v>0</v>
      </c>
      <c r="T151" s="22">
        <f>IF(N151="MP",I151-M151,0)</f>
        <v>0</v>
      </c>
      <c r="U151" s="22">
        <f>IF(N151="OM",H151,0)</f>
        <v>0</v>
      </c>
      <c r="V151" s="16" t="s">
        <v>69</v>
      </c>
      <c r="AF151" s="22">
        <f>SUM(W152:W161)</f>
        <v>0</v>
      </c>
      <c r="AG151" s="22">
        <f>SUM(X152:X161)</f>
        <v>0</v>
      </c>
      <c r="AH151" s="22">
        <f>SUM(Y152:Y161)</f>
        <v>0</v>
      </c>
    </row>
    <row r="152" spans="1:34" ht="38.25" x14ac:dyDescent="0.2">
      <c r="A152" s="24" t="s">
        <v>58</v>
      </c>
      <c r="B152" s="24"/>
      <c r="C152" s="24" t="s">
        <v>97</v>
      </c>
      <c r="D152" s="29" t="s">
        <v>498</v>
      </c>
      <c r="E152" s="35" t="s">
        <v>156</v>
      </c>
      <c r="F152" s="30">
        <f>SUM(F153:F156)</f>
        <v>2710.8</v>
      </c>
      <c r="G152" s="30">
        <v>0</v>
      </c>
      <c r="H152" s="9">
        <f>ROUND(F152*AB152,2)</f>
        <v>0</v>
      </c>
      <c r="I152" s="9">
        <f>J152-H152</f>
        <v>0</v>
      </c>
      <c r="J152" s="9">
        <f>ROUND(F152*G152,2)</f>
        <v>0</v>
      </c>
      <c r="K152" s="19" t="s">
        <v>7</v>
      </c>
      <c r="L152" s="9">
        <f>IF(K152="5",I152,0)</f>
        <v>0</v>
      </c>
      <c r="W152" s="9">
        <f>IF(AA152=0,J152,0)</f>
        <v>0</v>
      </c>
      <c r="X152" s="9">
        <f>IF(AA152=15,J152,0)</f>
        <v>0</v>
      </c>
      <c r="Y152" s="9">
        <f>IF(AA152=21,J152,0)</f>
        <v>0</v>
      </c>
      <c r="AA152" s="21">
        <v>21</v>
      </c>
      <c r="AB152" s="21">
        <f>G152*0.917020350418979</f>
        <v>0</v>
      </c>
      <c r="AC152" s="21">
        <f>G152*(1-0.917020350418979)</f>
        <v>0</v>
      </c>
    </row>
    <row r="153" spans="1:34" x14ac:dyDescent="0.2">
      <c r="A153" s="24"/>
      <c r="B153" s="24"/>
      <c r="C153" s="24"/>
      <c r="D153" s="40" t="s">
        <v>348</v>
      </c>
      <c r="E153" s="40"/>
      <c r="F153" s="74">
        <v>1061</v>
      </c>
      <c r="G153" s="30"/>
      <c r="H153" s="9"/>
      <c r="I153" s="9"/>
      <c r="J153" s="9"/>
      <c r="K153" s="19"/>
      <c r="L153" s="9"/>
      <c r="W153" s="9"/>
      <c r="X153" s="9"/>
      <c r="Y153" s="9"/>
      <c r="AA153" s="21"/>
      <c r="AB153" s="21"/>
      <c r="AC153" s="21"/>
    </row>
    <row r="154" spans="1:34" x14ac:dyDescent="0.2">
      <c r="A154" s="24"/>
      <c r="B154" s="24"/>
      <c r="C154" s="24"/>
      <c r="D154" s="40" t="s">
        <v>349</v>
      </c>
      <c r="E154" s="40"/>
      <c r="F154" s="74">
        <v>48.8</v>
      </c>
      <c r="G154" s="30"/>
      <c r="H154" s="9"/>
      <c r="I154" s="9"/>
      <c r="J154" s="9"/>
      <c r="K154" s="19"/>
      <c r="L154" s="9"/>
      <c r="W154" s="9"/>
      <c r="X154" s="9"/>
      <c r="Y154" s="9"/>
      <c r="AA154" s="21"/>
      <c r="AB154" s="21"/>
      <c r="AC154" s="21"/>
    </row>
    <row r="155" spans="1:34" x14ac:dyDescent="0.2">
      <c r="A155" s="24"/>
      <c r="B155" s="24"/>
      <c r="C155" s="24"/>
      <c r="D155" s="40" t="s">
        <v>350</v>
      </c>
      <c r="E155" s="40"/>
      <c r="F155" s="74">
        <v>1211</v>
      </c>
      <c r="G155" s="30"/>
      <c r="H155" s="9"/>
      <c r="I155" s="9"/>
      <c r="J155" s="9"/>
      <c r="K155" s="19"/>
      <c r="L155" s="9"/>
      <c r="W155" s="9"/>
      <c r="X155" s="9"/>
      <c r="Y155" s="9"/>
      <c r="AA155" s="21"/>
      <c r="AB155" s="21"/>
      <c r="AC155" s="21"/>
    </row>
    <row r="156" spans="1:34" x14ac:dyDescent="0.2">
      <c r="A156" s="24"/>
      <c r="B156" s="24"/>
      <c r="C156" s="24"/>
      <c r="D156" s="40" t="s">
        <v>351</v>
      </c>
      <c r="E156" s="40"/>
      <c r="F156" s="74">
        <v>390</v>
      </c>
      <c r="G156" s="30"/>
      <c r="H156" s="9"/>
      <c r="I156" s="9"/>
      <c r="J156" s="9"/>
      <c r="K156" s="19"/>
      <c r="L156" s="9"/>
      <c r="W156" s="9"/>
      <c r="X156" s="9"/>
      <c r="Y156" s="9"/>
      <c r="AA156" s="21"/>
      <c r="AB156" s="21"/>
      <c r="AC156" s="21"/>
    </row>
    <row r="157" spans="1:34" ht="38.25" x14ac:dyDescent="0.2">
      <c r="A157" s="24" t="s">
        <v>59</v>
      </c>
      <c r="B157" s="24"/>
      <c r="C157" s="24" t="s">
        <v>98</v>
      </c>
      <c r="D157" s="29" t="s">
        <v>497</v>
      </c>
      <c r="E157" s="35" t="s">
        <v>156</v>
      </c>
      <c r="F157" s="30">
        <f>SUM(F158:F161)</f>
        <v>2710.8</v>
      </c>
      <c r="G157" s="30">
        <v>0</v>
      </c>
      <c r="H157" s="9">
        <f>ROUND(F157*AB157,2)</f>
        <v>0</v>
      </c>
      <c r="I157" s="9">
        <f>J157-H157</f>
        <v>0</v>
      </c>
      <c r="J157" s="9">
        <f>ROUND(F157*G157,2)</f>
        <v>0</v>
      </c>
      <c r="K157" s="19" t="s">
        <v>7</v>
      </c>
      <c r="L157" s="9">
        <f>IF(K157="5",I157,0)</f>
        <v>0</v>
      </c>
      <c r="W157" s="9">
        <f>IF(AA157=0,J157,0)</f>
        <v>0</v>
      </c>
      <c r="X157" s="9">
        <f>IF(AA157=15,J157,0)</f>
        <v>0</v>
      </c>
      <c r="Y157" s="9">
        <f>IF(AA157=21,J157,0)</f>
        <v>0</v>
      </c>
      <c r="AA157" s="21">
        <v>21</v>
      </c>
      <c r="AB157" s="21">
        <f>G157*0.908980582524272</f>
        <v>0</v>
      </c>
      <c r="AC157" s="21">
        <f>G157*(1-0.908980582524272)</f>
        <v>0</v>
      </c>
    </row>
    <row r="158" spans="1:34" x14ac:dyDescent="0.2">
      <c r="A158" s="24"/>
      <c r="B158" s="24"/>
      <c r="C158" s="24"/>
      <c r="D158" s="40" t="s">
        <v>348</v>
      </c>
      <c r="E158" s="40"/>
      <c r="F158" s="74">
        <v>1061</v>
      </c>
      <c r="G158" s="30"/>
      <c r="H158" s="9"/>
      <c r="I158" s="9"/>
      <c r="J158" s="9"/>
      <c r="K158" s="19"/>
      <c r="L158" s="9"/>
      <c r="W158" s="9"/>
      <c r="X158" s="9"/>
      <c r="Y158" s="9"/>
      <c r="AA158" s="21"/>
      <c r="AB158" s="21"/>
      <c r="AC158" s="21"/>
    </row>
    <row r="159" spans="1:34" x14ac:dyDescent="0.2">
      <c r="A159" s="24"/>
      <c r="B159" s="24"/>
      <c r="C159" s="24"/>
      <c r="D159" s="40" t="s">
        <v>349</v>
      </c>
      <c r="E159" s="40"/>
      <c r="F159" s="74">
        <v>48.8</v>
      </c>
      <c r="G159" s="30"/>
      <c r="H159" s="9"/>
      <c r="I159" s="9"/>
      <c r="J159" s="9"/>
      <c r="K159" s="19"/>
      <c r="L159" s="9"/>
      <c r="W159" s="9"/>
      <c r="X159" s="9"/>
      <c r="Y159" s="9"/>
      <c r="AA159" s="21"/>
      <c r="AB159" s="21"/>
      <c r="AC159" s="21"/>
    </row>
    <row r="160" spans="1:34" x14ac:dyDescent="0.2">
      <c r="A160" s="24"/>
      <c r="B160" s="24"/>
      <c r="C160" s="24"/>
      <c r="D160" s="40" t="s">
        <v>350</v>
      </c>
      <c r="E160" s="40"/>
      <c r="F160" s="74">
        <v>1211</v>
      </c>
      <c r="G160" s="30"/>
      <c r="H160" s="9"/>
      <c r="I160" s="9"/>
      <c r="J160" s="9"/>
      <c r="K160" s="19"/>
      <c r="L160" s="9"/>
      <c r="W160" s="9"/>
      <c r="X160" s="9"/>
      <c r="Y160" s="9"/>
      <c r="AA160" s="21"/>
      <c r="AB160" s="21"/>
      <c r="AC160" s="21"/>
    </row>
    <row r="161" spans="1:34" x14ac:dyDescent="0.2">
      <c r="A161" s="24"/>
      <c r="B161" s="24"/>
      <c r="C161" s="24"/>
      <c r="D161" s="40" t="s">
        <v>351</v>
      </c>
      <c r="E161" s="40"/>
      <c r="F161" s="74">
        <v>390</v>
      </c>
      <c r="G161" s="30"/>
      <c r="H161" s="9"/>
      <c r="I161" s="9"/>
      <c r="J161" s="9"/>
      <c r="K161" s="19"/>
      <c r="L161" s="9"/>
      <c r="W161" s="9"/>
      <c r="X161" s="9"/>
      <c r="Y161" s="9"/>
      <c r="AA161" s="21"/>
      <c r="AB161" s="21"/>
      <c r="AC161" s="21"/>
    </row>
    <row r="162" spans="1:34" ht="25.5" x14ac:dyDescent="0.2">
      <c r="A162" s="24" t="s">
        <v>418</v>
      </c>
      <c r="B162" s="24"/>
      <c r="C162" s="24" t="s">
        <v>90</v>
      </c>
      <c r="D162" s="29" t="s">
        <v>382</v>
      </c>
      <c r="E162" s="35" t="s">
        <v>156</v>
      </c>
      <c r="F162" s="30">
        <f>F163</f>
        <v>396.55</v>
      </c>
      <c r="G162" s="30">
        <v>0</v>
      </c>
      <c r="H162" s="9">
        <f>ROUND(F162*AB162,2)</f>
        <v>0</v>
      </c>
      <c r="I162" s="9">
        <f>J162-H162</f>
        <v>0</v>
      </c>
      <c r="J162" s="9">
        <f>ROUND(F162*G162,2)</f>
        <v>0</v>
      </c>
      <c r="K162" s="19" t="s">
        <v>7</v>
      </c>
      <c r="L162" s="9">
        <f>IF(K162="5",I162,0)</f>
        <v>0</v>
      </c>
      <c r="W162" s="9">
        <f>IF(AA162=0,J162,0)</f>
        <v>0</v>
      </c>
      <c r="X162" s="9">
        <f>IF(AA162=15,J162,0)</f>
        <v>0</v>
      </c>
      <c r="Y162" s="9">
        <f>IF(AA162=21,J162,0)</f>
        <v>0</v>
      </c>
      <c r="AA162" s="21">
        <v>21</v>
      </c>
      <c r="AB162" s="21">
        <f>G162*0.76686822151838</f>
        <v>0</v>
      </c>
      <c r="AC162" s="21">
        <f>G162*(1-0.76686822151838)</f>
        <v>0</v>
      </c>
    </row>
    <row r="163" spans="1:34" x14ac:dyDescent="0.2">
      <c r="A163" s="24"/>
      <c r="B163" s="24"/>
      <c r="C163" s="24"/>
      <c r="D163" s="40" t="s">
        <v>346</v>
      </c>
      <c r="E163" s="35"/>
      <c r="F163" s="74">
        <f>360.5*1.1</f>
        <v>396.55</v>
      </c>
      <c r="G163" s="30"/>
      <c r="H163" s="9"/>
      <c r="I163" s="9"/>
      <c r="J163" s="9"/>
      <c r="K163" s="19"/>
      <c r="L163" s="9"/>
      <c r="W163" s="9"/>
      <c r="X163" s="9"/>
      <c r="Y163" s="9"/>
      <c r="AA163" s="21"/>
      <c r="AB163" s="21"/>
      <c r="AC163" s="21"/>
    </row>
    <row r="164" spans="1:34" x14ac:dyDescent="0.2">
      <c r="A164" s="24" t="s">
        <v>60</v>
      </c>
      <c r="B164" s="24"/>
      <c r="C164" s="24" t="s">
        <v>467</v>
      </c>
      <c r="D164" s="29" t="s">
        <v>466</v>
      </c>
      <c r="E164" s="35" t="s">
        <v>156</v>
      </c>
      <c r="F164" s="30">
        <f>F165</f>
        <v>360.5</v>
      </c>
      <c r="G164" s="30">
        <v>0</v>
      </c>
      <c r="H164" s="9">
        <f>ROUND(F164*AB164,2)</f>
        <v>0</v>
      </c>
      <c r="I164" s="9">
        <f>J164-H164</f>
        <v>0</v>
      </c>
      <c r="J164" s="9">
        <f>ROUND(F164*G164,2)</f>
        <v>0</v>
      </c>
      <c r="K164" s="9"/>
      <c r="V164" s="9"/>
      <c r="W164" s="9"/>
      <c r="X164" s="9"/>
      <c r="Z164" s="21"/>
      <c r="AA164" s="21"/>
      <c r="AB164" s="21"/>
    </row>
    <row r="165" spans="1:34" x14ac:dyDescent="0.2">
      <c r="A165" s="24"/>
      <c r="B165" s="24"/>
      <c r="C165" s="24"/>
      <c r="D165" s="40" t="s">
        <v>347</v>
      </c>
      <c r="E165" s="35"/>
      <c r="F165" s="74">
        <v>360.5</v>
      </c>
      <c r="G165" s="30"/>
      <c r="H165" s="9"/>
      <c r="I165" s="9"/>
      <c r="J165" s="9"/>
      <c r="K165" s="9"/>
      <c r="V165" s="9"/>
      <c r="W165" s="9"/>
      <c r="X165" s="9"/>
      <c r="Z165" s="21"/>
      <c r="AA165" s="21"/>
      <c r="AB165" s="21"/>
    </row>
    <row r="166" spans="1:34" ht="13.15" customHeight="1" x14ac:dyDescent="0.2">
      <c r="A166" s="25"/>
      <c r="B166" s="25"/>
      <c r="C166" s="26" t="s">
        <v>99</v>
      </c>
      <c r="D166" s="162" t="s">
        <v>141</v>
      </c>
      <c r="E166" s="162"/>
      <c r="F166" s="162"/>
      <c r="G166" s="162"/>
      <c r="H166" s="22">
        <f>SUM(H167:H171)</f>
        <v>0</v>
      </c>
      <c r="I166" s="22">
        <f>SUM(I167:I171)</f>
        <v>0</v>
      </c>
      <c r="J166" s="22">
        <f>H166+I166</f>
        <v>0</v>
      </c>
      <c r="M166" s="22">
        <f>IF(N166="PR",J166,SUM(L167:L170))</f>
        <v>0</v>
      </c>
      <c r="N166" s="16" t="s">
        <v>180</v>
      </c>
      <c r="O166" s="22">
        <f>IF(N166="HS",H166,0)</f>
        <v>0</v>
      </c>
      <c r="P166" s="22">
        <f>IF(N166="HS",I166-M166,0)</f>
        <v>0</v>
      </c>
      <c r="Q166" s="22">
        <f>IF(N166="PS",H166,0)</f>
        <v>0</v>
      </c>
      <c r="R166" s="22">
        <f>IF(N166="PS",I166-M166,0)</f>
        <v>0</v>
      </c>
      <c r="S166" s="22">
        <f>IF(N166="MP",H166,0)</f>
        <v>0</v>
      </c>
      <c r="T166" s="22">
        <f>IF(N166="MP",I166-M166,0)</f>
        <v>0</v>
      </c>
      <c r="U166" s="22">
        <f>IF(N166="OM",H166,0)</f>
        <v>0</v>
      </c>
      <c r="V166" s="16" t="s">
        <v>69</v>
      </c>
      <c r="AF166" s="22">
        <f>SUM(W167:W170)</f>
        <v>0</v>
      </c>
      <c r="AG166" s="22">
        <f>SUM(X167:X170)</f>
        <v>0</v>
      </c>
      <c r="AH166" s="22">
        <f>SUM(Y167:Y170)</f>
        <v>0</v>
      </c>
    </row>
    <row r="167" spans="1:34" x14ac:dyDescent="0.2">
      <c r="A167" s="24" t="s">
        <v>61</v>
      </c>
      <c r="B167" s="24"/>
      <c r="C167" s="24" t="s">
        <v>100</v>
      </c>
      <c r="D167" s="29" t="s">
        <v>142</v>
      </c>
      <c r="E167" s="35" t="s">
        <v>160</v>
      </c>
      <c r="F167" s="30">
        <f>+F168</f>
        <v>939</v>
      </c>
      <c r="G167" s="30">
        <v>0</v>
      </c>
      <c r="H167" s="9">
        <f>ROUND(F167*AB167,2)</f>
        <v>0</v>
      </c>
      <c r="I167" s="9">
        <f>J167-H167</f>
        <v>0</v>
      </c>
      <c r="J167" s="9">
        <f>ROUND(F167*G167,2)</f>
        <v>0</v>
      </c>
      <c r="K167" s="19" t="s">
        <v>7</v>
      </c>
      <c r="L167" s="9">
        <f>IF(K167="5",I167,0)</f>
        <v>0</v>
      </c>
      <c r="W167" s="9">
        <f>IF(AA167=0,J167,0)</f>
        <v>0</v>
      </c>
      <c r="X167" s="9">
        <f>IF(AA167=15,J167,0)</f>
        <v>0</v>
      </c>
      <c r="Y167" s="9">
        <f>IF(AA167=21,J167,0)</f>
        <v>0</v>
      </c>
      <c r="AA167" s="21">
        <v>21</v>
      </c>
      <c r="AB167" s="21">
        <f>G167*0.718378299970989</f>
        <v>0</v>
      </c>
      <c r="AC167" s="21">
        <f>G167*(1-0.718378299970989)</f>
        <v>0</v>
      </c>
    </row>
    <row r="168" spans="1:34" x14ac:dyDescent="0.2">
      <c r="A168" s="24"/>
      <c r="B168" s="24"/>
      <c r="C168" s="24"/>
      <c r="D168" s="40" t="s">
        <v>332</v>
      </c>
      <c r="E168" s="35"/>
      <c r="F168" s="74">
        <f>919+20</f>
        <v>939</v>
      </c>
      <c r="G168" s="30"/>
      <c r="H168" s="9"/>
      <c r="I168" s="9"/>
      <c r="J168" s="9"/>
      <c r="K168" s="19"/>
      <c r="L168" s="9"/>
      <c r="W168" s="9"/>
      <c r="X168" s="9"/>
      <c r="Y168" s="9"/>
      <c r="AA168" s="21"/>
      <c r="AB168" s="21"/>
      <c r="AC168" s="21"/>
    </row>
    <row r="169" spans="1:34" ht="25.5" x14ac:dyDescent="0.2">
      <c r="A169" s="28" t="s">
        <v>419</v>
      </c>
      <c r="B169" s="24"/>
      <c r="C169" s="28" t="s">
        <v>226</v>
      </c>
      <c r="D169" s="32" t="s">
        <v>291</v>
      </c>
      <c r="E169" s="36" t="s">
        <v>161</v>
      </c>
      <c r="F169" s="33">
        <v>20</v>
      </c>
      <c r="G169" s="33">
        <v>0</v>
      </c>
      <c r="H169" s="10">
        <f>ROUND(F169*AB169,2)</f>
        <v>0</v>
      </c>
      <c r="I169" s="10">
        <f>J169-H169</f>
        <v>0</v>
      </c>
      <c r="J169" s="10">
        <f>ROUND(F169*G169,2)</f>
        <v>0</v>
      </c>
      <c r="K169" s="20" t="s">
        <v>177</v>
      </c>
      <c r="L169" s="10">
        <f>IF(K169="5",I169,0)</f>
        <v>0</v>
      </c>
      <c r="W169" s="10">
        <f>IF(AA169=0,J169,0)</f>
        <v>0</v>
      </c>
      <c r="X169" s="10">
        <f>IF(AA169=15,J169,0)</f>
        <v>0</v>
      </c>
      <c r="Y169" s="10">
        <f>IF(AA169=21,J169,0)</f>
        <v>0</v>
      </c>
      <c r="AA169" s="21">
        <v>21</v>
      </c>
      <c r="AB169" s="21">
        <f>G169*1</f>
        <v>0</v>
      </c>
      <c r="AC169" s="21">
        <f>G169*(1-1)</f>
        <v>0</v>
      </c>
    </row>
    <row r="170" spans="1:34" ht="25.5" x14ac:dyDescent="0.2">
      <c r="A170" s="28" t="s">
        <v>62</v>
      </c>
      <c r="B170" s="24"/>
      <c r="C170" s="28" t="s">
        <v>101</v>
      </c>
      <c r="D170" s="32" t="s">
        <v>330</v>
      </c>
      <c r="E170" s="36" t="s">
        <v>161</v>
      </c>
      <c r="F170" s="94">
        <f>F171</f>
        <v>2021.8000000000002</v>
      </c>
      <c r="G170" s="33">
        <v>0</v>
      </c>
      <c r="H170" s="10">
        <f>ROUND(F170*AB170,2)</f>
        <v>0</v>
      </c>
      <c r="I170" s="10">
        <f>J170-H170</f>
        <v>0</v>
      </c>
      <c r="J170" s="10">
        <f>ROUND(F170*G170,2)</f>
        <v>0</v>
      </c>
      <c r="K170" s="20" t="s">
        <v>177</v>
      </c>
      <c r="L170" s="10">
        <f>IF(K170="5",I170,0)</f>
        <v>0</v>
      </c>
      <c r="W170" s="10">
        <f>IF(AA170=0,J170,0)</f>
        <v>0</v>
      </c>
      <c r="X170" s="10">
        <f>IF(AA170=15,J170,0)</f>
        <v>0</v>
      </c>
      <c r="Y170" s="10">
        <f>IF(AA170=21,J170,0)</f>
        <v>0</v>
      </c>
      <c r="AA170" s="21">
        <v>21</v>
      </c>
      <c r="AB170" s="21">
        <f>G170*1</f>
        <v>0</v>
      </c>
      <c r="AC170" s="21">
        <f>G170*(1-1)</f>
        <v>0</v>
      </c>
    </row>
    <row r="171" spans="1:34" x14ac:dyDescent="0.2">
      <c r="A171" s="28"/>
      <c r="B171" s="24"/>
      <c r="C171" s="28"/>
      <c r="D171" s="40" t="s">
        <v>331</v>
      </c>
      <c r="E171" s="35"/>
      <c r="F171" s="95">
        <f>(919/0.5)*1.1</f>
        <v>2021.8000000000002</v>
      </c>
      <c r="G171" s="33"/>
      <c r="H171" s="10"/>
      <c r="I171" s="10"/>
      <c r="J171" s="10"/>
      <c r="K171" s="20"/>
      <c r="L171" s="10"/>
      <c r="W171" s="10"/>
      <c r="X171" s="10"/>
      <c r="Y171" s="10"/>
      <c r="AA171" s="21"/>
      <c r="AB171" s="21"/>
      <c r="AC171" s="21"/>
    </row>
    <row r="172" spans="1:34" x14ac:dyDescent="0.2">
      <c r="A172" s="25"/>
      <c r="B172" s="25"/>
      <c r="C172" s="26"/>
      <c r="D172" s="162" t="s">
        <v>136</v>
      </c>
      <c r="E172" s="162"/>
      <c r="F172" s="162"/>
      <c r="G172" s="162"/>
      <c r="H172" s="22">
        <f>SUM(H173:H195)</f>
        <v>0</v>
      </c>
      <c r="I172" s="22">
        <f>SUM(I173:I195)</f>
        <v>0</v>
      </c>
      <c r="J172" s="22">
        <f>H172+I172</f>
        <v>0</v>
      </c>
      <c r="M172" s="22">
        <f>IF(N172="PR",J172,SUM(L173:L179))</f>
        <v>0</v>
      </c>
      <c r="N172" s="16" t="s">
        <v>183</v>
      </c>
      <c r="O172" s="22">
        <f>IF(N172="HS",H172,0)</f>
        <v>0</v>
      </c>
      <c r="P172" s="22">
        <f>IF(N172="HS",I172-M172,0)</f>
        <v>0</v>
      </c>
      <c r="Q172" s="22">
        <f>IF(N172="PS",H172,0)</f>
        <v>0</v>
      </c>
      <c r="R172" s="22">
        <f>IF(N172="PS",I172-M172,0)</f>
        <v>0</v>
      </c>
      <c r="S172" s="22">
        <f>IF(N172="MP",H172,0)</f>
        <v>0</v>
      </c>
      <c r="T172" s="22">
        <f>IF(N172="MP",I172-M172,0)</f>
        <v>0</v>
      </c>
      <c r="U172" s="22">
        <f>IF(N172="OM",H172,0)</f>
        <v>0</v>
      </c>
      <c r="V172" s="16" t="s">
        <v>69</v>
      </c>
      <c r="AF172" s="22">
        <f>SUM(W173:W179)</f>
        <v>0</v>
      </c>
      <c r="AG172" s="22">
        <f>SUM(X173:X179)</f>
        <v>0</v>
      </c>
      <c r="AH172" s="22">
        <f>SUM(Y173:Y179)</f>
        <v>0</v>
      </c>
    </row>
    <row r="173" spans="1:34" ht="25.5" x14ac:dyDescent="0.2">
      <c r="A173" s="28" t="s">
        <v>63</v>
      </c>
      <c r="B173" s="24"/>
      <c r="C173" s="28" t="s">
        <v>227</v>
      </c>
      <c r="D173" s="32" t="s">
        <v>289</v>
      </c>
      <c r="E173" s="36" t="s">
        <v>159</v>
      </c>
      <c r="F173" s="33">
        <v>2</v>
      </c>
      <c r="G173" s="33">
        <v>0</v>
      </c>
      <c r="H173" s="10">
        <f t="shared" ref="H173:H179" si="5">ROUND(F173*AB173,2)</f>
        <v>0</v>
      </c>
      <c r="I173" s="10">
        <f t="shared" ref="I173:I179" si="6">J173-H173</f>
        <v>0</v>
      </c>
      <c r="J173" s="10">
        <f t="shared" ref="J173:J179" si="7">ROUND(F173*G173,2)</f>
        <v>0</v>
      </c>
      <c r="K173" s="20"/>
      <c r="L173" s="10"/>
      <c r="W173" s="10"/>
      <c r="X173" s="10"/>
      <c r="Y173" s="10"/>
      <c r="AA173" s="21"/>
      <c r="AB173" s="21"/>
      <c r="AC173" s="21"/>
    </row>
    <row r="174" spans="1:34" x14ac:dyDescent="0.2">
      <c r="A174" s="28" t="s">
        <v>420</v>
      </c>
      <c r="B174" s="24"/>
      <c r="C174" s="28" t="s">
        <v>102</v>
      </c>
      <c r="D174" s="32" t="s">
        <v>143</v>
      </c>
      <c r="E174" s="36" t="s">
        <v>162</v>
      </c>
      <c r="F174" s="33">
        <f>10.15*1.8</f>
        <v>18.27</v>
      </c>
      <c r="G174" s="33">
        <v>0</v>
      </c>
      <c r="H174" s="10">
        <f t="shared" si="5"/>
        <v>0</v>
      </c>
      <c r="I174" s="10">
        <f t="shared" si="6"/>
        <v>0</v>
      </c>
      <c r="J174" s="10">
        <f t="shared" si="7"/>
        <v>0</v>
      </c>
      <c r="K174" s="20"/>
      <c r="L174" s="10"/>
      <c r="W174" s="10"/>
      <c r="X174" s="10"/>
      <c r="Y174" s="10"/>
      <c r="AA174" s="21"/>
      <c r="AB174" s="21"/>
      <c r="AC174" s="21"/>
    </row>
    <row r="175" spans="1:34" ht="25.5" x14ac:dyDescent="0.2">
      <c r="A175" s="28" t="s">
        <v>421</v>
      </c>
      <c r="B175" s="24"/>
      <c r="C175" s="28" t="s">
        <v>475</v>
      </c>
      <c r="D175" s="32" t="s">
        <v>333</v>
      </c>
      <c r="E175" s="36" t="s">
        <v>159</v>
      </c>
      <c r="F175" s="33">
        <v>1</v>
      </c>
      <c r="G175" s="33">
        <v>0</v>
      </c>
      <c r="H175" s="10">
        <f t="shared" si="5"/>
        <v>0</v>
      </c>
      <c r="I175" s="10">
        <f t="shared" si="6"/>
        <v>0</v>
      </c>
      <c r="J175" s="10">
        <f t="shared" si="7"/>
        <v>0</v>
      </c>
      <c r="K175" s="20"/>
      <c r="L175" s="10"/>
      <c r="W175" s="10"/>
      <c r="X175" s="10"/>
      <c r="Y175" s="10"/>
      <c r="AA175" s="21"/>
      <c r="AB175" s="21"/>
      <c r="AC175" s="21"/>
    </row>
    <row r="176" spans="1:34" ht="25.5" x14ac:dyDescent="0.2">
      <c r="A176" s="28" t="s">
        <v>422</v>
      </c>
      <c r="B176" s="24"/>
      <c r="C176" s="28" t="s">
        <v>229</v>
      </c>
      <c r="D176" s="32" t="s">
        <v>228</v>
      </c>
      <c r="E176" s="36" t="s">
        <v>163</v>
      </c>
      <c r="F176" s="33">
        <v>2</v>
      </c>
      <c r="G176" s="33">
        <v>0</v>
      </c>
      <c r="H176" s="10">
        <f t="shared" si="5"/>
        <v>0</v>
      </c>
      <c r="I176" s="10">
        <f t="shared" si="6"/>
        <v>0</v>
      </c>
      <c r="J176" s="10">
        <f t="shared" si="7"/>
        <v>0</v>
      </c>
      <c r="K176" s="20"/>
      <c r="L176" s="10"/>
      <c r="W176" s="10"/>
      <c r="X176" s="10"/>
      <c r="Y176" s="10"/>
      <c r="AA176" s="21"/>
      <c r="AB176" s="21"/>
      <c r="AC176" s="21"/>
    </row>
    <row r="177" spans="1:34" ht="42.6" customHeight="1" x14ac:dyDescent="0.2">
      <c r="A177" s="28" t="s">
        <v>423</v>
      </c>
      <c r="B177" s="24"/>
      <c r="C177" s="28" t="s">
        <v>230</v>
      </c>
      <c r="D177" s="32" t="s">
        <v>144</v>
      </c>
      <c r="E177" s="36" t="s">
        <v>163</v>
      </c>
      <c r="F177" s="33">
        <v>2</v>
      </c>
      <c r="G177" s="33">
        <v>0</v>
      </c>
      <c r="H177" s="10">
        <f t="shared" si="5"/>
        <v>0</v>
      </c>
      <c r="I177" s="10">
        <f t="shared" si="6"/>
        <v>0</v>
      </c>
      <c r="J177" s="10">
        <f t="shared" si="7"/>
        <v>0</v>
      </c>
      <c r="K177" s="20"/>
      <c r="L177" s="10"/>
      <c r="W177" s="10"/>
      <c r="X177" s="10"/>
      <c r="Y177" s="10"/>
      <c r="AA177" s="21"/>
      <c r="AB177" s="21"/>
      <c r="AC177" s="21"/>
    </row>
    <row r="178" spans="1:34" ht="25.5" x14ac:dyDescent="0.2">
      <c r="A178" s="28" t="s">
        <v>424</v>
      </c>
      <c r="B178" s="24"/>
      <c r="C178" s="28" t="s">
        <v>231</v>
      </c>
      <c r="D178" s="32" t="s">
        <v>145</v>
      </c>
      <c r="E178" s="36" t="s">
        <v>159</v>
      </c>
      <c r="F178" s="33">
        <v>4</v>
      </c>
      <c r="G178" s="33">
        <v>0</v>
      </c>
      <c r="H178" s="10">
        <f t="shared" si="5"/>
        <v>0</v>
      </c>
      <c r="I178" s="10">
        <f t="shared" si="6"/>
        <v>0</v>
      </c>
      <c r="J178" s="10">
        <f t="shared" si="7"/>
        <v>0</v>
      </c>
      <c r="K178" s="20"/>
      <c r="L178" s="10"/>
      <c r="W178" s="10"/>
      <c r="X178" s="10"/>
      <c r="Y178" s="10"/>
      <c r="AA178" s="21"/>
      <c r="AB178" s="21"/>
      <c r="AC178" s="21"/>
    </row>
    <row r="179" spans="1:34" x14ac:dyDescent="0.2">
      <c r="A179" s="28" t="s">
        <v>425</v>
      </c>
      <c r="B179" s="24"/>
      <c r="C179" s="28" t="s">
        <v>103</v>
      </c>
      <c r="D179" s="32" t="s">
        <v>341</v>
      </c>
      <c r="E179" s="36" t="s">
        <v>155</v>
      </c>
      <c r="F179" s="33">
        <f>F180</f>
        <v>102.6</v>
      </c>
      <c r="G179" s="33">
        <v>0</v>
      </c>
      <c r="H179" s="10">
        <f t="shared" si="5"/>
        <v>0</v>
      </c>
      <c r="I179" s="10">
        <f t="shared" si="6"/>
        <v>0</v>
      </c>
      <c r="J179" s="10">
        <f t="shared" si="7"/>
        <v>0</v>
      </c>
      <c r="K179" s="20"/>
      <c r="L179" s="10"/>
      <c r="W179" s="10"/>
      <c r="X179" s="10"/>
      <c r="Y179" s="10"/>
      <c r="AA179" s="21"/>
      <c r="AB179" s="21"/>
      <c r="AC179" s="21"/>
    </row>
    <row r="180" spans="1:34" x14ac:dyDescent="0.2">
      <c r="A180" s="28"/>
      <c r="B180" s="24"/>
      <c r="C180" s="28"/>
      <c r="D180" s="40" t="s">
        <v>340</v>
      </c>
      <c r="E180" s="35"/>
      <c r="F180" s="95">
        <v>102.6</v>
      </c>
      <c r="G180" s="33"/>
      <c r="H180" s="10"/>
      <c r="I180" s="10"/>
      <c r="J180" s="10"/>
      <c r="K180" s="20"/>
      <c r="L180" s="10"/>
      <c r="W180" s="10"/>
      <c r="X180" s="10"/>
      <c r="Y180" s="10"/>
      <c r="AA180" s="21"/>
      <c r="AB180" s="21"/>
      <c r="AC180" s="21"/>
    </row>
    <row r="181" spans="1:34" ht="14.45" customHeight="1" x14ac:dyDescent="0.2">
      <c r="A181" s="28" t="s">
        <v>64</v>
      </c>
      <c r="B181" s="28"/>
      <c r="C181" s="28" t="s">
        <v>476</v>
      </c>
      <c r="D181" s="96" t="s">
        <v>269</v>
      </c>
      <c r="E181" s="36" t="s">
        <v>159</v>
      </c>
      <c r="F181" s="33">
        <v>1</v>
      </c>
      <c r="G181" s="33">
        <v>0</v>
      </c>
      <c r="H181" s="10">
        <f>ROUND(F181*AB181,2)</f>
        <v>0</v>
      </c>
      <c r="I181" s="10">
        <f>J181-H181</f>
        <v>0</v>
      </c>
      <c r="J181" s="10">
        <f>ROUND(F181*G181,2)</f>
        <v>0</v>
      </c>
      <c r="K181" s="20"/>
      <c r="L181" s="10"/>
      <c r="W181" s="10"/>
      <c r="X181" s="10"/>
      <c r="Y181" s="10"/>
      <c r="AA181" s="21"/>
      <c r="AB181" s="21"/>
      <c r="AC181" s="21"/>
    </row>
    <row r="182" spans="1:34" hidden="1" x14ac:dyDescent="0.2">
      <c r="A182" s="24"/>
      <c r="B182" s="24"/>
      <c r="C182" s="28" t="s">
        <v>303</v>
      </c>
      <c r="D182" s="40"/>
      <c r="F182" s="40"/>
      <c r="G182" s="30"/>
      <c r="H182" s="9"/>
      <c r="I182" s="9"/>
      <c r="J182" s="9"/>
    </row>
    <row r="183" spans="1:34" hidden="1" x14ac:dyDescent="0.2">
      <c r="A183" s="24"/>
      <c r="B183" s="24"/>
      <c r="C183" s="28" t="s">
        <v>304</v>
      </c>
      <c r="D183" s="40"/>
      <c r="F183" s="40"/>
      <c r="G183" s="30"/>
      <c r="H183" s="9"/>
      <c r="I183" s="9"/>
      <c r="J183" s="9"/>
    </row>
    <row r="184" spans="1:34" hidden="1" x14ac:dyDescent="0.2">
      <c r="A184" s="75"/>
      <c r="B184" s="75"/>
      <c r="C184" s="28" t="s">
        <v>305</v>
      </c>
      <c r="D184" s="77"/>
      <c r="E184" s="80"/>
      <c r="F184" s="80"/>
      <c r="G184" s="80"/>
      <c r="H184" s="78"/>
      <c r="I184" s="78"/>
      <c r="J184" s="78"/>
      <c r="M184" s="78">
        <f>IF(N184="PR",J196,SUM(L185:L207))</f>
        <v>0</v>
      </c>
      <c r="N184" s="97" t="s">
        <v>180</v>
      </c>
      <c r="O184" s="78">
        <f>IF(N184="HS",H196,0)</f>
        <v>0</v>
      </c>
      <c r="P184" s="78">
        <f>IF(N184="HS",I196-M184,0)</f>
        <v>0</v>
      </c>
      <c r="Q184" s="78">
        <f>IF(N184="PS",H196,0)</f>
        <v>0</v>
      </c>
      <c r="R184" s="78">
        <f>IF(N184="PS",I196-M184,0)</f>
        <v>0</v>
      </c>
      <c r="S184" s="78">
        <f>IF(N184="MP",H196,0)</f>
        <v>0</v>
      </c>
      <c r="T184" s="78">
        <f>IF(N184="MP",I196-M184,0)</f>
        <v>0</v>
      </c>
      <c r="U184" s="78">
        <f>IF(N184="OM",H196,0)</f>
        <v>0</v>
      </c>
      <c r="V184" s="97" t="s">
        <v>70</v>
      </c>
      <c r="AF184" s="78">
        <f>SUM(W185:W207)</f>
        <v>0</v>
      </c>
      <c r="AG184" s="78">
        <f>SUM(X185:X207)</f>
        <v>0</v>
      </c>
      <c r="AH184" s="78" t="e">
        <f>SUM(Y185:Y207)</f>
        <v>#REF!</v>
      </c>
    </row>
    <row r="185" spans="1:34" hidden="1" x14ac:dyDescent="0.2">
      <c r="A185" s="75"/>
      <c r="B185" s="75"/>
      <c r="C185" s="28" t="s">
        <v>306</v>
      </c>
      <c r="D185" s="77"/>
      <c r="E185" s="80"/>
      <c r="F185" s="80"/>
      <c r="G185" s="80"/>
      <c r="H185" s="78"/>
      <c r="I185" s="78"/>
      <c r="J185" s="78"/>
      <c r="K185" s="19" t="s">
        <v>11</v>
      </c>
      <c r="L185" s="9">
        <f>IF(K185="5",I197,0)</f>
        <v>0</v>
      </c>
      <c r="W185" s="9">
        <f>IF(AA185=0,J197,0)</f>
        <v>0</v>
      </c>
      <c r="X185" s="9">
        <f>IF(AA185=15,J197,0)</f>
        <v>0</v>
      </c>
      <c r="Y185" s="9">
        <f>IF(AA185=21,J197,0)</f>
        <v>0</v>
      </c>
      <c r="AA185" s="21">
        <v>21</v>
      </c>
      <c r="AB185" s="21">
        <f>G197*0</f>
        <v>0</v>
      </c>
      <c r="AC185" s="21">
        <f>G197*(1-0)</f>
        <v>0</v>
      </c>
    </row>
    <row r="186" spans="1:34" ht="28.15" customHeight="1" x14ac:dyDescent="0.2">
      <c r="A186" s="24" t="s">
        <v>65</v>
      </c>
      <c r="B186" s="24"/>
      <c r="C186" s="28" t="s">
        <v>106</v>
      </c>
      <c r="D186" s="32" t="s">
        <v>453</v>
      </c>
      <c r="E186" s="36" t="s">
        <v>159</v>
      </c>
      <c r="F186" s="33">
        <v>18</v>
      </c>
      <c r="G186" s="33">
        <v>0</v>
      </c>
      <c r="H186" s="10">
        <f>ROUND(F186*AB184,2)</f>
        <v>0</v>
      </c>
      <c r="I186" s="10">
        <f>J186-H186</f>
        <v>0</v>
      </c>
      <c r="J186" s="10">
        <f>ROUND(F186*G186,2)</f>
        <v>0</v>
      </c>
      <c r="K186" s="19" t="s">
        <v>7</v>
      </c>
      <c r="L186" s="9">
        <f>IF(K186="5",I188,0)</f>
        <v>0</v>
      </c>
      <c r="W186" s="9">
        <f>IF(AA186=0,J188,0)</f>
        <v>0</v>
      </c>
      <c r="X186" s="9">
        <f>IF(AA186=15,J188,0)</f>
        <v>0</v>
      </c>
      <c r="Y186" s="9">
        <f>IF(AA186=21,J188,0)</f>
        <v>0</v>
      </c>
      <c r="AA186" s="21">
        <v>21</v>
      </c>
      <c r="AB186" s="21">
        <f>G188*0.00575985821887461</f>
        <v>0</v>
      </c>
      <c r="AC186" s="21">
        <f>G188*(1-0.00575985821887461)</f>
        <v>0</v>
      </c>
    </row>
    <row r="187" spans="1:34" ht="28.15" customHeight="1" x14ac:dyDescent="0.2">
      <c r="A187" s="24" t="s">
        <v>66</v>
      </c>
      <c r="B187" s="24"/>
      <c r="C187" s="28" t="s">
        <v>107</v>
      </c>
      <c r="D187" s="32" t="s">
        <v>454</v>
      </c>
      <c r="E187" s="36" t="s">
        <v>159</v>
      </c>
      <c r="F187" s="33">
        <v>1</v>
      </c>
      <c r="G187" s="33">
        <v>0</v>
      </c>
      <c r="H187" s="10">
        <f>ROUND(F187*AB185,2)</f>
        <v>0</v>
      </c>
      <c r="I187" s="10">
        <f>J187-H187</f>
        <v>0</v>
      </c>
      <c r="J187" s="10">
        <f>ROUND(F187*G187,2)</f>
        <v>0</v>
      </c>
      <c r="K187" s="19" t="s">
        <v>7</v>
      </c>
      <c r="L187" s="9">
        <f>IF(K187="5",I196,0)</f>
        <v>0</v>
      </c>
      <c r="W187" s="9">
        <f>IF(AA187=0,J196,0)</f>
        <v>0</v>
      </c>
      <c r="X187" s="9">
        <f>IF(AA187=15,J196,0)</f>
        <v>0</v>
      </c>
      <c r="Y187" s="9">
        <f>IF(AA187=21,J196,0)</f>
        <v>0</v>
      </c>
      <c r="AA187" s="21">
        <v>21</v>
      </c>
      <c r="AB187" s="21">
        <f>G196*0.790071164125599</f>
        <v>0</v>
      </c>
      <c r="AC187" s="21">
        <f>G196*(1-0.790071164125599)</f>
        <v>0</v>
      </c>
    </row>
    <row r="188" spans="1:34" ht="14.45" customHeight="1" x14ac:dyDescent="0.2">
      <c r="A188" s="28" t="s">
        <v>426</v>
      </c>
      <c r="B188" s="28"/>
      <c r="C188" s="28" t="s">
        <v>232</v>
      </c>
      <c r="D188" s="32" t="s">
        <v>334</v>
      </c>
      <c r="E188" s="36" t="s">
        <v>163</v>
      </c>
      <c r="F188" s="33">
        <v>3</v>
      </c>
      <c r="G188" s="33">
        <v>0</v>
      </c>
      <c r="H188" s="10">
        <f>+F188*G188</f>
        <v>0</v>
      </c>
      <c r="I188" s="10">
        <f>J188-H188</f>
        <v>0</v>
      </c>
      <c r="J188" s="10">
        <f>ROUND(F188*G188,2)</f>
        <v>0</v>
      </c>
      <c r="K188" s="20"/>
      <c r="L188" s="10"/>
      <c r="W188" s="10"/>
      <c r="X188" s="10"/>
      <c r="Y188" s="10"/>
      <c r="AA188" s="21"/>
      <c r="AB188" s="21"/>
      <c r="AC188" s="21"/>
    </row>
    <row r="189" spans="1:34" ht="14.45" customHeight="1" x14ac:dyDescent="0.2">
      <c r="A189" s="28" t="s">
        <v>233</v>
      </c>
      <c r="B189" s="28"/>
      <c r="C189" s="28" t="s">
        <v>390</v>
      </c>
      <c r="D189" s="32" t="s">
        <v>397</v>
      </c>
      <c r="E189" s="36" t="s">
        <v>159</v>
      </c>
      <c r="F189" s="33">
        <v>1</v>
      </c>
      <c r="G189" s="33">
        <v>0</v>
      </c>
      <c r="H189" s="10">
        <f t="shared" ref="H189:H195" si="8">+F189*G189</f>
        <v>0</v>
      </c>
      <c r="I189" s="10">
        <f t="shared" ref="I189:I195" si="9">J189-H189</f>
        <v>0</v>
      </c>
      <c r="J189" s="10">
        <f t="shared" ref="J189:J195" si="10">ROUND(F189*G189,2)</f>
        <v>0</v>
      </c>
      <c r="K189" s="20"/>
      <c r="L189" s="10"/>
      <c r="W189" s="10"/>
      <c r="X189" s="10"/>
      <c r="Y189" s="10"/>
      <c r="AA189" s="21"/>
      <c r="AB189" s="21"/>
      <c r="AC189" s="21"/>
    </row>
    <row r="190" spans="1:34" ht="14.45" customHeight="1" x14ac:dyDescent="0.2">
      <c r="A190" s="28" t="s">
        <v>234</v>
      </c>
      <c r="B190" s="28"/>
      <c r="C190" s="28" t="s">
        <v>391</v>
      </c>
      <c r="D190" s="32" t="s">
        <v>398</v>
      </c>
      <c r="E190" s="36" t="s">
        <v>159</v>
      </c>
      <c r="F190" s="33">
        <v>1</v>
      </c>
      <c r="G190" s="33">
        <v>0</v>
      </c>
      <c r="H190" s="10">
        <f t="shared" si="8"/>
        <v>0</v>
      </c>
      <c r="I190" s="10">
        <f t="shared" si="9"/>
        <v>0</v>
      </c>
      <c r="J190" s="10">
        <f t="shared" si="10"/>
        <v>0</v>
      </c>
      <c r="K190" s="20"/>
      <c r="L190" s="10"/>
      <c r="W190" s="10"/>
      <c r="X190" s="10"/>
      <c r="Y190" s="10"/>
      <c r="AA190" s="21"/>
      <c r="AB190" s="21"/>
      <c r="AC190" s="21"/>
    </row>
    <row r="191" spans="1:34" ht="14.45" customHeight="1" x14ac:dyDescent="0.2">
      <c r="A191" s="28" t="s">
        <v>299</v>
      </c>
      <c r="B191" s="28"/>
      <c r="C191" s="28" t="s">
        <v>393</v>
      </c>
      <c r="D191" s="32" t="s">
        <v>399</v>
      </c>
      <c r="E191" s="36" t="s">
        <v>159</v>
      </c>
      <c r="F191" s="33">
        <v>2</v>
      </c>
      <c r="G191" s="33">
        <v>0</v>
      </c>
      <c r="H191" s="10">
        <f t="shared" si="8"/>
        <v>0</v>
      </c>
      <c r="I191" s="10">
        <f t="shared" si="9"/>
        <v>0</v>
      </c>
      <c r="J191" s="10">
        <f t="shared" si="10"/>
        <v>0</v>
      </c>
      <c r="K191" s="20"/>
      <c r="L191" s="10"/>
      <c r="W191" s="10"/>
      <c r="X191" s="10"/>
      <c r="Y191" s="10"/>
      <c r="AA191" s="21"/>
      <c r="AB191" s="21"/>
      <c r="AC191" s="21"/>
    </row>
    <row r="192" spans="1:34" ht="14.45" customHeight="1" x14ac:dyDescent="0.2">
      <c r="A192" s="28" t="s">
        <v>300</v>
      </c>
      <c r="B192" s="28"/>
      <c r="C192" s="28" t="s">
        <v>394</v>
      </c>
      <c r="D192" s="32" t="s">
        <v>400</v>
      </c>
      <c r="E192" s="36" t="s">
        <v>159</v>
      </c>
      <c r="F192" s="33">
        <v>1</v>
      </c>
      <c r="G192" s="33">
        <v>0</v>
      </c>
      <c r="H192" s="10">
        <f t="shared" si="8"/>
        <v>0</v>
      </c>
      <c r="I192" s="10">
        <f t="shared" si="9"/>
        <v>0</v>
      </c>
      <c r="J192" s="10">
        <f t="shared" si="10"/>
        <v>0</v>
      </c>
      <c r="K192" s="20"/>
      <c r="L192" s="10"/>
      <c r="W192" s="10"/>
      <c r="X192" s="10"/>
      <c r="Y192" s="10"/>
      <c r="AA192" s="21"/>
      <c r="AB192" s="21"/>
      <c r="AC192" s="21"/>
    </row>
    <row r="193" spans="1:29" ht="14.45" customHeight="1" x14ac:dyDescent="0.2">
      <c r="A193" s="28" t="s">
        <v>301</v>
      </c>
      <c r="B193" s="28"/>
      <c r="C193" s="28" t="s">
        <v>392</v>
      </c>
      <c r="D193" s="32" t="s">
        <v>401</v>
      </c>
      <c r="E193" s="36" t="s">
        <v>159</v>
      </c>
      <c r="F193" s="33">
        <v>1</v>
      </c>
      <c r="G193" s="33">
        <v>0</v>
      </c>
      <c r="H193" s="10">
        <f t="shared" si="8"/>
        <v>0</v>
      </c>
      <c r="I193" s="10">
        <f t="shared" si="9"/>
        <v>0</v>
      </c>
      <c r="J193" s="10">
        <f t="shared" si="10"/>
        <v>0</v>
      </c>
      <c r="K193" s="20"/>
      <c r="L193" s="10"/>
      <c r="W193" s="10"/>
      <c r="X193" s="10"/>
      <c r="Y193" s="10"/>
      <c r="AA193" s="21"/>
      <c r="AB193" s="21"/>
      <c r="AC193" s="21"/>
    </row>
    <row r="194" spans="1:29" ht="14.45" customHeight="1" x14ac:dyDescent="0.2">
      <c r="A194" s="28" t="s">
        <v>302</v>
      </c>
      <c r="B194" s="28"/>
      <c r="C194" s="28" t="s">
        <v>395</v>
      </c>
      <c r="D194" s="32" t="s">
        <v>402</v>
      </c>
      <c r="E194" s="36" t="s">
        <v>159</v>
      </c>
      <c r="F194" s="33">
        <v>1</v>
      </c>
      <c r="G194" s="33">
        <v>0</v>
      </c>
      <c r="H194" s="10">
        <f t="shared" si="8"/>
        <v>0</v>
      </c>
      <c r="I194" s="10">
        <f t="shared" si="9"/>
        <v>0</v>
      </c>
      <c r="J194" s="10">
        <f t="shared" si="10"/>
        <v>0</v>
      </c>
      <c r="K194" s="20"/>
      <c r="L194" s="10"/>
      <c r="W194" s="10"/>
      <c r="X194" s="10"/>
      <c r="Y194" s="10"/>
      <c r="AA194" s="21"/>
      <c r="AB194" s="21"/>
      <c r="AC194" s="21"/>
    </row>
    <row r="195" spans="1:29" ht="14.45" customHeight="1" x14ac:dyDescent="0.2">
      <c r="A195" s="28" t="s">
        <v>427</v>
      </c>
      <c r="B195" s="28"/>
      <c r="C195" s="28" t="s">
        <v>396</v>
      </c>
      <c r="D195" s="32" t="s">
        <v>403</v>
      </c>
      <c r="E195" s="36" t="s">
        <v>159</v>
      </c>
      <c r="F195" s="33">
        <v>1</v>
      </c>
      <c r="G195" s="33">
        <v>0</v>
      </c>
      <c r="H195" s="10">
        <f t="shared" si="8"/>
        <v>0</v>
      </c>
      <c r="I195" s="10">
        <f t="shared" si="9"/>
        <v>0</v>
      </c>
      <c r="J195" s="10">
        <f t="shared" si="10"/>
        <v>0</v>
      </c>
      <c r="K195" s="20"/>
      <c r="L195" s="10"/>
      <c r="W195" s="10"/>
      <c r="X195" s="10"/>
      <c r="Y195" s="10"/>
      <c r="AA195" s="21"/>
      <c r="AB195" s="21"/>
      <c r="AC195" s="21"/>
    </row>
    <row r="196" spans="1:29" x14ac:dyDescent="0.2">
      <c r="A196" s="25"/>
      <c r="B196" s="25"/>
      <c r="C196" s="26" t="s">
        <v>104</v>
      </c>
      <c r="D196" s="162" t="s">
        <v>146</v>
      </c>
      <c r="E196" s="162"/>
      <c r="F196" s="162"/>
      <c r="G196" s="162"/>
      <c r="H196" s="22">
        <f>SUM(H197:H207)</f>
        <v>0</v>
      </c>
      <c r="I196" s="22">
        <f>SUM(I197:I207)</f>
        <v>0</v>
      </c>
      <c r="J196" s="22">
        <f>H196+I196</f>
        <v>0</v>
      </c>
      <c r="K196" s="20" t="s">
        <v>177</v>
      </c>
      <c r="L196" s="10">
        <f>IF(K196="5",#REF!,0)</f>
        <v>0</v>
      </c>
      <c r="W196" s="10">
        <f>IF(AA196=0,#REF!,0)</f>
        <v>0</v>
      </c>
      <c r="X196" s="10">
        <f>IF(AA196=15,#REF!,0)</f>
        <v>0</v>
      </c>
      <c r="Y196" s="10" t="e">
        <f>IF(AA196=21,#REF!,0)</f>
        <v>#REF!</v>
      </c>
      <c r="AA196" s="21">
        <v>21</v>
      </c>
      <c r="AB196" s="21" t="e">
        <f>#REF!*1</f>
        <v>#REF!</v>
      </c>
      <c r="AC196" s="21" t="e">
        <f>#REF!*(1-1)</f>
        <v>#REF!</v>
      </c>
    </row>
    <row r="197" spans="1:29" x14ac:dyDescent="0.2">
      <c r="A197" s="24" t="s">
        <v>428</v>
      </c>
      <c r="B197" s="24"/>
      <c r="C197" s="24" t="s">
        <v>105</v>
      </c>
      <c r="D197" s="29" t="s">
        <v>147</v>
      </c>
      <c r="E197" s="35" t="s">
        <v>157</v>
      </c>
      <c r="F197" s="30">
        <f>F198*2</f>
        <v>509.76</v>
      </c>
      <c r="G197" s="30">
        <v>0</v>
      </c>
      <c r="H197" s="9">
        <f>ROUND(F197*AB185,2)</f>
        <v>0</v>
      </c>
      <c r="I197" s="9">
        <f>J197-H197</f>
        <v>0</v>
      </c>
      <c r="J197" s="9">
        <f>ROUND(F197*G197,2)</f>
        <v>0</v>
      </c>
      <c r="K197" s="20" t="s">
        <v>177</v>
      </c>
      <c r="L197" s="10">
        <f>IF(K197="5",#REF!,0)</f>
        <v>0</v>
      </c>
      <c r="W197" s="10">
        <f>IF(AA197=0,#REF!,0)</f>
        <v>0</v>
      </c>
      <c r="X197" s="10">
        <f>IF(AA197=15,#REF!,0)</f>
        <v>0</v>
      </c>
      <c r="Y197" s="10" t="e">
        <f>IF(AA197=21,#REF!,0)</f>
        <v>#REF!</v>
      </c>
      <c r="AA197" s="21">
        <v>21</v>
      </c>
      <c r="AB197" s="21" t="e">
        <f>#REF!*1</f>
        <v>#REF!</v>
      </c>
      <c r="AC197" s="21" t="e">
        <f>#REF!*(1-1)</f>
        <v>#REF!</v>
      </c>
    </row>
    <row r="198" spans="1:29" x14ac:dyDescent="0.2">
      <c r="A198" s="24" t="s">
        <v>429</v>
      </c>
      <c r="B198" s="24"/>
      <c r="C198" s="24" t="s">
        <v>108</v>
      </c>
      <c r="D198" s="29" t="s">
        <v>148</v>
      </c>
      <c r="E198" s="35" t="s">
        <v>155</v>
      </c>
      <c r="F198" s="30">
        <f>F199+F200+F201</f>
        <v>254.88</v>
      </c>
      <c r="G198" s="30">
        <v>0</v>
      </c>
      <c r="H198" s="9">
        <f>ROUND(F198*AI198,2)</f>
        <v>0</v>
      </c>
      <c r="I198" s="9">
        <f>J198-H198</f>
        <v>0</v>
      </c>
      <c r="J198" s="9">
        <f>ROUND(F198*G198,2)</f>
        <v>0</v>
      </c>
      <c r="K198" s="20" t="s">
        <v>177</v>
      </c>
      <c r="L198" s="10">
        <f>IF(K198="5",I203,0)</f>
        <v>0</v>
      </c>
      <c r="W198" s="10">
        <f>IF(AA198=0,J203,0)</f>
        <v>0</v>
      </c>
      <c r="X198" s="10">
        <f>IF(AA198=15,J203,0)</f>
        <v>0</v>
      </c>
      <c r="Y198" s="10">
        <f>IF(AA198=21,J203,0)</f>
        <v>0</v>
      </c>
      <c r="AA198" s="21">
        <v>21</v>
      </c>
      <c r="AB198" s="21">
        <f>G203*1</f>
        <v>0</v>
      </c>
      <c r="AC198" s="21">
        <f>G203*(1-1)</f>
        <v>0</v>
      </c>
    </row>
    <row r="199" spans="1:29" x14ac:dyDescent="0.2">
      <c r="A199" s="24"/>
      <c r="B199" s="24"/>
      <c r="C199" s="24"/>
      <c r="D199" s="40" t="s">
        <v>336</v>
      </c>
      <c r="F199" s="74">
        <f>F203*0.6*0.6</f>
        <v>28.799999999999997</v>
      </c>
      <c r="G199" s="30"/>
      <c r="H199" s="9"/>
      <c r="I199" s="9"/>
      <c r="J199" s="9"/>
      <c r="K199" s="20"/>
      <c r="L199" s="10"/>
      <c r="W199" s="10"/>
      <c r="X199" s="10"/>
      <c r="Y199" s="10"/>
      <c r="AA199" s="21"/>
      <c r="AB199" s="21"/>
      <c r="AC199" s="21"/>
    </row>
    <row r="200" spans="1:29" x14ac:dyDescent="0.2">
      <c r="A200" s="24"/>
      <c r="B200" s="24"/>
      <c r="C200" s="24"/>
      <c r="D200" s="40" t="s">
        <v>337</v>
      </c>
      <c r="F200" s="74">
        <f>F204*0.3*0.6</f>
        <v>154.08000000000001</v>
      </c>
      <c r="G200" s="30"/>
      <c r="H200" s="9"/>
      <c r="I200" s="9"/>
      <c r="J200" s="9"/>
      <c r="K200" s="20"/>
      <c r="L200" s="10"/>
      <c r="W200" s="10"/>
      <c r="X200" s="10"/>
      <c r="Y200" s="10"/>
      <c r="AA200" s="21"/>
      <c r="AB200" s="21"/>
      <c r="AC200" s="21"/>
    </row>
    <row r="201" spans="1:29" x14ac:dyDescent="0.2">
      <c r="A201" s="24"/>
      <c r="B201" s="24"/>
      <c r="C201" s="24"/>
      <c r="D201" s="40" t="s">
        <v>338</v>
      </c>
      <c r="F201" s="74">
        <f>72</f>
        <v>72</v>
      </c>
      <c r="G201" s="30"/>
      <c r="H201" s="9"/>
      <c r="I201" s="9"/>
      <c r="J201" s="9"/>
      <c r="K201" s="20"/>
      <c r="L201" s="10"/>
      <c r="W201" s="10"/>
      <c r="X201" s="10"/>
      <c r="Y201" s="10"/>
      <c r="AA201" s="21"/>
      <c r="AB201" s="21"/>
      <c r="AC201" s="21"/>
    </row>
    <row r="202" spans="1:29" x14ac:dyDescent="0.2">
      <c r="A202" s="24" t="s">
        <v>104</v>
      </c>
      <c r="B202" s="24"/>
      <c r="C202" s="24" t="s">
        <v>109</v>
      </c>
      <c r="D202" s="29" t="s">
        <v>149</v>
      </c>
      <c r="E202" s="35" t="s">
        <v>160</v>
      </c>
      <c r="F202" s="30">
        <f>F203+F204+F205</f>
        <v>985</v>
      </c>
      <c r="G202" s="30">
        <v>0</v>
      </c>
      <c r="H202" s="9">
        <f>ROUND(F202*AB188,2)</f>
        <v>0</v>
      </c>
      <c r="I202" s="9">
        <f t="shared" ref="I202:I207" si="11">J202-H202</f>
        <v>0</v>
      </c>
      <c r="J202" s="9">
        <f t="shared" ref="J202:J207" si="12">ROUND(F202*G202,2)</f>
        <v>0</v>
      </c>
      <c r="K202" s="20" t="s">
        <v>177</v>
      </c>
      <c r="L202" s="10">
        <f>IF(K202="5",I204,0)</f>
        <v>0</v>
      </c>
      <c r="W202" s="10">
        <f>IF(AA202=0,J204,0)</f>
        <v>0</v>
      </c>
      <c r="X202" s="10">
        <f>IF(AA202=15,J204,0)</f>
        <v>0</v>
      </c>
      <c r="Y202" s="10">
        <f>IF(AA202=21,J204,0)</f>
        <v>0</v>
      </c>
      <c r="AA202" s="21">
        <v>21</v>
      </c>
      <c r="AB202" s="21">
        <f>G204*1</f>
        <v>0</v>
      </c>
      <c r="AC202" s="21">
        <f>G204*(1-1)</f>
        <v>0</v>
      </c>
    </row>
    <row r="203" spans="1:29" x14ac:dyDescent="0.2">
      <c r="A203" s="24" t="s">
        <v>430</v>
      </c>
      <c r="B203" s="24"/>
      <c r="C203" s="28" t="s">
        <v>110</v>
      </c>
      <c r="D203" s="32" t="s">
        <v>292</v>
      </c>
      <c r="E203" s="36" t="s">
        <v>160</v>
      </c>
      <c r="F203" s="33">
        <v>80</v>
      </c>
      <c r="G203" s="33">
        <v>0</v>
      </c>
      <c r="H203" s="10">
        <f>ROUND(F203*AB198,2)</f>
        <v>0</v>
      </c>
      <c r="I203" s="10">
        <f t="shared" si="11"/>
        <v>0</v>
      </c>
      <c r="J203" s="10">
        <f t="shared" si="12"/>
        <v>0</v>
      </c>
      <c r="K203" s="20" t="s">
        <v>177</v>
      </c>
      <c r="L203" s="10">
        <f>IF(K203="5",I206,0)</f>
        <v>0</v>
      </c>
      <c r="W203" s="10">
        <f>IF(AA203=0,J206,0)</f>
        <v>0</v>
      </c>
      <c r="X203" s="10">
        <f>IF(AA203=15,J206,0)</f>
        <v>0</v>
      </c>
      <c r="Y203" s="10">
        <f>IF(AA203=21,J206,0)</f>
        <v>0</v>
      </c>
      <c r="AA203" s="21">
        <v>21</v>
      </c>
      <c r="AB203" s="21">
        <f>G206*1</f>
        <v>0</v>
      </c>
      <c r="AC203" s="21">
        <f>G206*(1-1)</f>
        <v>0</v>
      </c>
    </row>
    <row r="204" spans="1:29" x14ac:dyDescent="0.2">
      <c r="A204" s="24" t="s">
        <v>431</v>
      </c>
      <c r="B204" s="24"/>
      <c r="C204" s="28" t="s">
        <v>111</v>
      </c>
      <c r="D204" s="32" t="s">
        <v>293</v>
      </c>
      <c r="E204" s="36" t="s">
        <v>160</v>
      </c>
      <c r="F204" s="33">
        <v>856</v>
      </c>
      <c r="G204" s="33">
        <v>0</v>
      </c>
      <c r="H204" s="10">
        <f>ROUND(F204*AB202,2)</f>
        <v>0</v>
      </c>
      <c r="I204" s="10">
        <f t="shared" si="11"/>
        <v>0</v>
      </c>
      <c r="J204" s="10">
        <f t="shared" si="12"/>
        <v>0</v>
      </c>
      <c r="K204" s="20" t="s">
        <v>177</v>
      </c>
      <c r="L204" s="10">
        <f>IF(K204="5",I207,0)</f>
        <v>0</v>
      </c>
      <c r="W204" s="10">
        <f>IF(AA204=0,J207,0)</f>
        <v>0</v>
      </c>
      <c r="X204" s="10">
        <f>IF(AA204=15,J207,0)</f>
        <v>0</v>
      </c>
      <c r="Y204" s="10">
        <f>IF(AA204=21,J207,0)</f>
        <v>0</v>
      </c>
      <c r="AA204" s="21">
        <v>21</v>
      </c>
      <c r="AB204" s="21">
        <f>G207*1</f>
        <v>0</v>
      </c>
      <c r="AC204" s="21">
        <f>G207*(1-1)</f>
        <v>0</v>
      </c>
    </row>
    <row r="205" spans="1:29" x14ac:dyDescent="0.2">
      <c r="A205" s="24" t="s">
        <v>432</v>
      </c>
      <c r="B205" s="24"/>
      <c r="C205" s="28" t="s">
        <v>111</v>
      </c>
      <c r="D205" s="32" t="s">
        <v>339</v>
      </c>
      <c r="E205" s="36" t="s">
        <v>160</v>
      </c>
      <c r="F205" s="33">
        <v>49</v>
      </c>
      <c r="G205" s="33">
        <v>0</v>
      </c>
      <c r="H205" s="10">
        <f>ROUND(F205*AI205,2)</f>
        <v>0</v>
      </c>
      <c r="I205" s="10">
        <f t="shared" si="11"/>
        <v>0</v>
      </c>
      <c r="J205" s="10">
        <f t="shared" si="12"/>
        <v>0</v>
      </c>
      <c r="K205" s="20"/>
      <c r="L205" s="10"/>
      <c r="W205" s="10"/>
      <c r="X205" s="10"/>
      <c r="Y205" s="10"/>
      <c r="AA205" s="21"/>
      <c r="AB205" s="21"/>
      <c r="AC205" s="21"/>
    </row>
    <row r="206" spans="1:29" ht="28.9" customHeight="1" x14ac:dyDescent="0.2">
      <c r="A206" s="24" t="s">
        <v>99</v>
      </c>
      <c r="B206" s="24"/>
      <c r="C206" s="28" t="s">
        <v>112</v>
      </c>
      <c r="D206" s="32" t="s">
        <v>488</v>
      </c>
      <c r="E206" s="36" t="s">
        <v>159</v>
      </c>
      <c r="F206" s="33">
        <v>2</v>
      </c>
      <c r="G206" s="33">
        <v>0</v>
      </c>
      <c r="H206" s="10">
        <f>ROUND(F206*AB203,2)</f>
        <v>0</v>
      </c>
      <c r="I206" s="10">
        <f t="shared" si="11"/>
        <v>0</v>
      </c>
      <c r="J206" s="10">
        <f t="shared" si="12"/>
        <v>0</v>
      </c>
      <c r="K206" s="20" t="s">
        <v>177</v>
      </c>
      <c r="L206" s="10">
        <f>IF(K206="5",#REF!,0)</f>
        <v>0</v>
      </c>
      <c r="W206" s="10">
        <f>IF(AA206=0,#REF!,0)</f>
        <v>0</v>
      </c>
      <c r="X206" s="10">
        <f>IF(AA206=15,#REF!,0)</f>
        <v>0</v>
      </c>
      <c r="Y206" s="10" t="e">
        <f>IF(AA206=21,#REF!,0)</f>
        <v>#REF!</v>
      </c>
      <c r="AA206" s="21">
        <v>21</v>
      </c>
      <c r="AB206" s="21" t="e">
        <f>#REF!*1</f>
        <v>#REF!</v>
      </c>
      <c r="AC206" s="21" t="e">
        <f>#REF!*(1-1)</f>
        <v>#REF!</v>
      </c>
    </row>
    <row r="207" spans="1:29" ht="27.6" customHeight="1" x14ac:dyDescent="0.2">
      <c r="A207" s="24" t="s">
        <v>433</v>
      </c>
      <c r="B207" s="24"/>
      <c r="C207" s="28" t="s">
        <v>113</v>
      </c>
      <c r="D207" s="32" t="s">
        <v>335</v>
      </c>
      <c r="E207" s="36" t="s">
        <v>159</v>
      </c>
      <c r="F207" s="33">
        <v>1</v>
      </c>
      <c r="G207" s="33">
        <v>0</v>
      </c>
      <c r="H207" s="10">
        <f>ROUND(F207*AB204,2)</f>
        <v>0</v>
      </c>
      <c r="I207" s="10">
        <f t="shared" si="11"/>
        <v>0</v>
      </c>
      <c r="J207" s="10">
        <f t="shared" si="12"/>
        <v>0</v>
      </c>
      <c r="K207" s="20" t="s">
        <v>177</v>
      </c>
      <c r="L207" s="10">
        <f>IF(K207="5",#REF!,0)</f>
        <v>0</v>
      </c>
      <c r="W207" s="10">
        <f>IF(AA207=0,#REF!,0)</f>
        <v>0</v>
      </c>
      <c r="X207" s="10">
        <f>IF(AA207=15,#REF!,0)</f>
        <v>0</v>
      </c>
      <c r="Y207" s="10" t="e">
        <f>IF(AA207=21,#REF!,0)</f>
        <v>#REF!</v>
      </c>
      <c r="AA207" s="21">
        <v>21</v>
      </c>
      <c r="AB207" s="21" t="e">
        <f>#REF!*1</f>
        <v>#REF!</v>
      </c>
      <c r="AC207" s="21" t="e">
        <f>#REF!*(1-1)</f>
        <v>#REF!</v>
      </c>
    </row>
    <row r="208" spans="1:29" x14ac:dyDescent="0.2">
      <c r="A208" s="25"/>
      <c r="B208" s="25"/>
      <c r="C208" s="26" t="s">
        <v>104</v>
      </c>
      <c r="D208" s="162" t="s">
        <v>455</v>
      </c>
      <c r="E208" s="162"/>
      <c r="F208" s="162"/>
      <c r="G208" s="162"/>
      <c r="H208" s="22">
        <f>SUM(H209:H214)</f>
        <v>0</v>
      </c>
      <c r="I208" s="22">
        <f>SUM(I209:I214)</f>
        <v>0</v>
      </c>
      <c r="J208" s="22">
        <f>H208+I208</f>
        <v>0</v>
      </c>
      <c r="K208" s="20" t="s">
        <v>177</v>
      </c>
      <c r="L208" s="10">
        <f>IF(K208="5",#REF!,0)</f>
        <v>0</v>
      </c>
      <c r="W208" s="10">
        <f>IF(AA208=0,#REF!,0)</f>
        <v>0</v>
      </c>
      <c r="X208" s="10">
        <f>IF(AA208=15,#REF!,0)</f>
        <v>0</v>
      </c>
      <c r="Y208" s="10" t="e">
        <f>IF(AA208=21,#REF!,0)</f>
        <v>#REF!</v>
      </c>
      <c r="AA208" s="21">
        <v>21</v>
      </c>
      <c r="AB208" s="21" t="e">
        <f>#REF!*1</f>
        <v>#REF!</v>
      </c>
      <c r="AC208" s="21" t="e">
        <f>#REF!*(1-1)</f>
        <v>#REF!</v>
      </c>
    </row>
    <row r="209" spans="1:35" s="87" customFormat="1" ht="27" customHeight="1" x14ac:dyDescent="0.2">
      <c r="A209" s="82" t="s">
        <v>434</v>
      </c>
      <c r="B209" s="82"/>
      <c r="C209" s="82" t="s">
        <v>477</v>
      </c>
      <c r="D209" s="83" t="s">
        <v>405</v>
      </c>
      <c r="E209" s="84" t="s">
        <v>159</v>
      </c>
      <c r="F209" s="85">
        <v>1</v>
      </c>
      <c r="G209" s="85">
        <v>0</v>
      </c>
      <c r="H209" s="86">
        <f>ROUND(F209*AB205,2)</f>
        <v>0</v>
      </c>
      <c r="I209" s="86">
        <f>J209-H209</f>
        <v>0</v>
      </c>
      <c r="J209" s="86">
        <f>ROUND(F209*G209,2)</f>
        <v>0</v>
      </c>
      <c r="K209" s="90"/>
      <c r="L209" s="86"/>
      <c r="W209" s="86"/>
      <c r="X209" s="86"/>
      <c r="Y209" s="86"/>
      <c r="AA209" s="86"/>
      <c r="AB209" s="86"/>
      <c r="AC209" s="86"/>
    </row>
    <row r="210" spans="1:35" s="87" customFormat="1" ht="14.45" customHeight="1" x14ac:dyDescent="0.2">
      <c r="A210" s="82" t="s">
        <v>435</v>
      </c>
      <c r="B210" s="82"/>
      <c r="C210" s="82" t="s">
        <v>468</v>
      </c>
      <c r="D210" s="83" t="s">
        <v>404</v>
      </c>
      <c r="E210" s="84" t="s">
        <v>160</v>
      </c>
      <c r="F210" s="85">
        <v>45</v>
      </c>
      <c r="G210" s="85">
        <v>0</v>
      </c>
      <c r="H210" s="10">
        <v>0</v>
      </c>
      <c r="I210" s="86">
        <f>F210*G210</f>
        <v>0</v>
      </c>
      <c r="J210" s="86">
        <f>H210+I210</f>
        <v>0</v>
      </c>
      <c r="K210" s="90"/>
      <c r="L210" s="86"/>
      <c r="W210" s="86"/>
      <c r="X210" s="86"/>
      <c r="Y210" s="86"/>
      <c r="AA210" s="86"/>
      <c r="AB210" s="86"/>
      <c r="AC210" s="86"/>
    </row>
    <row r="211" spans="1:35" s="87" customFormat="1" ht="14.45" customHeight="1" x14ac:dyDescent="0.2">
      <c r="A211" s="82" t="s">
        <v>436</v>
      </c>
      <c r="B211" s="82"/>
      <c r="C211" s="82" t="s">
        <v>470</v>
      </c>
      <c r="D211" s="83" t="s">
        <v>469</v>
      </c>
      <c r="E211" s="84" t="s">
        <v>160</v>
      </c>
      <c r="F211" s="85">
        <f>F212</f>
        <v>180</v>
      </c>
      <c r="G211" s="85">
        <v>0</v>
      </c>
      <c r="H211" s="10">
        <v>0</v>
      </c>
      <c r="I211" s="86">
        <f>F211*G211</f>
        <v>0</v>
      </c>
      <c r="J211" s="86">
        <f>H211+I211</f>
        <v>0</v>
      </c>
      <c r="K211" s="90"/>
      <c r="L211" s="86"/>
      <c r="W211" s="86"/>
      <c r="X211" s="86"/>
      <c r="Y211" s="86"/>
      <c r="AA211" s="86"/>
      <c r="AB211" s="86"/>
      <c r="AC211" s="86"/>
    </row>
    <row r="212" spans="1:35" s="87" customFormat="1" ht="14.45" customHeight="1" x14ac:dyDescent="0.2">
      <c r="A212" s="82"/>
      <c r="B212" s="82"/>
      <c r="C212" s="82"/>
      <c r="D212" s="40" t="s">
        <v>469</v>
      </c>
      <c r="E212" s="27"/>
      <c r="F212" s="74">
        <f>45*4</f>
        <v>180</v>
      </c>
      <c r="G212" s="85"/>
      <c r="H212" s="10"/>
      <c r="I212" s="86"/>
      <c r="J212" s="86"/>
      <c r="K212" s="90"/>
      <c r="L212" s="86"/>
      <c r="W212" s="86"/>
      <c r="X212" s="86"/>
      <c r="Y212" s="86"/>
      <c r="AA212" s="86"/>
      <c r="AB212" s="86"/>
      <c r="AC212" s="86"/>
    </row>
    <row r="213" spans="1:35" s="87" customFormat="1" ht="14.45" customHeight="1" x14ac:dyDescent="0.2">
      <c r="A213" s="82" t="s">
        <v>437</v>
      </c>
      <c r="B213" s="82"/>
      <c r="C213" s="82" t="s">
        <v>479</v>
      </c>
      <c r="D213" s="83" t="s">
        <v>480</v>
      </c>
      <c r="E213" s="84" t="s">
        <v>160</v>
      </c>
      <c r="F213" s="85">
        <v>45</v>
      </c>
      <c r="G213" s="85">
        <v>0</v>
      </c>
      <c r="H213" s="10">
        <v>0</v>
      </c>
      <c r="I213" s="86">
        <f>F213*G213</f>
        <v>0</v>
      </c>
      <c r="J213" s="86">
        <f>H213+I213</f>
        <v>0</v>
      </c>
      <c r="K213" s="90"/>
      <c r="L213" s="86"/>
      <c r="W213" s="86"/>
      <c r="X213" s="86"/>
      <c r="Y213" s="86"/>
      <c r="AA213" s="86"/>
      <c r="AB213" s="86"/>
      <c r="AC213" s="86"/>
    </row>
    <row r="214" spans="1:35" s="87" customFormat="1" ht="14.45" customHeight="1" x14ac:dyDescent="0.2">
      <c r="A214" s="82" t="s">
        <v>438</v>
      </c>
      <c r="B214" s="82"/>
      <c r="C214" s="82" t="s">
        <v>482</v>
      </c>
      <c r="D214" s="83" t="s">
        <v>483</v>
      </c>
      <c r="E214" s="84" t="s">
        <v>155</v>
      </c>
      <c r="F214" s="85">
        <f>(1*0.6)*45</f>
        <v>27</v>
      </c>
      <c r="G214" s="85">
        <v>0</v>
      </c>
      <c r="H214" s="10">
        <v>0</v>
      </c>
      <c r="I214" s="86">
        <f>F214*G214</f>
        <v>0</v>
      </c>
      <c r="J214" s="86">
        <f>H214+I214</f>
        <v>0</v>
      </c>
      <c r="K214" s="90"/>
      <c r="L214" s="86"/>
      <c r="W214" s="86"/>
      <c r="X214" s="86"/>
      <c r="Y214" s="86"/>
      <c r="AA214" s="86"/>
      <c r="AB214" s="86"/>
      <c r="AC214" s="86"/>
    </row>
    <row r="215" spans="1:35" x14ac:dyDescent="0.2">
      <c r="A215" s="4"/>
      <c r="B215" s="4"/>
      <c r="C215" s="4"/>
      <c r="D215" s="46"/>
      <c r="E215" s="37"/>
      <c r="F215" s="4"/>
      <c r="G215" s="4"/>
      <c r="H215" s="39"/>
      <c r="I215" s="39" t="s">
        <v>170</v>
      </c>
      <c r="J215" s="100">
        <f>+J196+J172+J166+J151+J147+J127+J116+J93+J81+J76+J60+J33+J28+J12+J208</f>
        <v>0</v>
      </c>
      <c r="AI215" s="67">
        <f>+J215</f>
        <v>0</v>
      </c>
    </row>
    <row r="216" spans="1:35" x14ac:dyDescent="0.2">
      <c r="I216" s="39"/>
    </row>
  </sheetData>
  <sheetProtection algorithmName="SHA-512" hashValue="kKHVPWoq4NL9Dcyz9ozAzHxxq517ShyFTNtBHTIQ/y9qsZfvbAlG51j8pbVLxBDdap4AGEeH3qFTjIEyCMvoLA==" saltValue="pGeS+b3KRXkMsKt0Kc2R+Q==" spinCount="100000" sheet="1" objects="1" scenarios="1"/>
  <protectedRanges>
    <protectedRange sqref="G13:G27 G29:G32 G34:G59 G61:G75 G77:G80 G82:G92 G94:G115 G117:G126 G128:G146 G148:G150 G167:G171 G173:G195 G197:G207 G209:G214 G152:G165" name="Oblast1"/>
  </protectedRanges>
  <mergeCells count="41">
    <mergeCell ref="A8:C9"/>
    <mergeCell ref="D8:D9"/>
    <mergeCell ref="E8:F9"/>
    <mergeCell ref="G8:H9"/>
    <mergeCell ref="E4:F5"/>
    <mergeCell ref="G4:H5"/>
    <mergeCell ref="I4:I5"/>
    <mergeCell ref="J4:J5"/>
    <mergeCell ref="D28:G28"/>
    <mergeCell ref="D60:G60"/>
    <mergeCell ref="H10:J10"/>
    <mergeCell ref="D12:G12"/>
    <mergeCell ref="I8:I9"/>
    <mergeCell ref="J8:J9"/>
    <mergeCell ref="D33:G33"/>
    <mergeCell ref="D147:G147"/>
    <mergeCell ref="A1:J1"/>
    <mergeCell ref="A2:C3"/>
    <mergeCell ref="D2:D3"/>
    <mergeCell ref="E2:F3"/>
    <mergeCell ref="G2:H3"/>
    <mergeCell ref="I2:I3"/>
    <mergeCell ref="J2:J3"/>
    <mergeCell ref="A4:C5"/>
    <mergeCell ref="D4:D5"/>
    <mergeCell ref="A6:C7"/>
    <mergeCell ref="D6:D7"/>
    <mergeCell ref="E6:F7"/>
    <mergeCell ref="G6:H7"/>
    <mergeCell ref="I6:I7"/>
    <mergeCell ref="J6:J7"/>
    <mergeCell ref="D208:G208"/>
    <mergeCell ref="D196:G196"/>
    <mergeCell ref="D172:G172"/>
    <mergeCell ref="D166:G166"/>
    <mergeCell ref="D151:G151"/>
    <mergeCell ref="D127:G127"/>
    <mergeCell ref="D116:G116"/>
    <mergeCell ref="D93:G93"/>
    <mergeCell ref="D81:G81"/>
    <mergeCell ref="D76:G76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8"/>
  <sheetViews>
    <sheetView workbookViewId="0">
      <selection activeCell="H15" sqref="H15"/>
    </sheetView>
  </sheetViews>
  <sheetFormatPr defaultRowHeight="12.75" x14ac:dyDescent="0.2"/>
  <cols>
    <col min="1" max="1" width="3" customWidth="1"/>
    <col min="2" max="2" width="7" customWidth="1"/>
    <col min="3" max="3" width="10.7109375" customWidth="1"/>
    <col min="4" max="4" width="51.7109375" customWidth="1"/>
    <col min="5" max="5" width="5.5703125" customWidth="1"/>
    <col min="6" max="6" width="11.42578125" customWidth="1"/>
    <col min="7" max="7" width="11.7109375" customWidth="1"/>
    <col min="8" max="8" width="12.28515625" customWidth="1"/>
    <col min="9" max="9" width="12.5703125" customWidth="1"/>
    <col min="10" max="10" width="24" customWidth="1"/>
    <col min="11" max="11" width="1.5703125" customWidth="1"/>
    <col min="12" max="12" width="124.7109375" customWidth="1"/>
  </cols>
  <sheetData>
    <row r="1" spans="1:34" ht="18.75" customHeight="1" thickBot="1" x14ac:dyDescent="0.25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34" x14ac:dyDescent="0.2">
      <c r="A2" s="165" t="s">
        <v>1</v>
      </c>
      <c r="B2" s="166"/>
      <c r="C2" s="166"/>
      <c r="D2" s="156" t="s">
        <v>494</v>
      </c>
      <c r="E2" s="169" t="s">
        <v>150</v>
      </c>
      <c r="F2" s="166"/>
      <c r="G2" s="169"/>
      <c r="H2" s="166"/>
      <c r="I2" s="169" t="s">
        <v>171</v>
      </c>
      <c r="J2" s="170" t="s">
        <v>411</v>
      </c>
    </row>
    <row r="3" spans="1:34" x14ac:dyDescent="0.2">
      <c r="A3" s="167"/>
      <c r="B3" s="168"/>
      <c r="C3" s="168"/>
      <c r="D3" s="158"/>
      <c r="E3" s="168"/>
      <c r="F3" s="168"/>
      <c r="G3" s="168"/>
      <c r="H3" s="168"/>
      <c r="I3" s="168"/>
      <c r="J3" s="171"/>
    </row>
    <row r="4" spans="1:34" x14ac:dyDescent="0.2">
      <c r="A4" s="172" t="s">
        <v>2</v>
      </c>
      <c r="B4" s="168"/>
      <c r="C4" s="168"/>
      <c r="D4" s="121" t="s">
        <v>114</v>
      </c>
      <c r="E4" s="173" t="s">
        <v>151</v>
      </c>
      <c r="F4" s="168"/>
      <c r="G4" s="173" t="s">
        <v>5</v>
      </c>
      <c r="H4" s="168"/>
      <c r="I4" s="173" t="s">
        <v>172</v>
      </c>
      <c r="J4" s="174" t="s">
        <v>408</v>
      </c>
    </row>
    <row r="5" spans="1:34" x14ac:dyDescent="0.2">
      <c r="A5" s="167"/>
      <c r="B5" s="168"/>
      <c r="C5" s="168"/>
      <c r="D5" s="122"/>
      <c r="E5" s="168"/>
      <c r="F5" s="168"/>
      <c r="G5" s="168"/>
      <c r="H5" s="168"/>
      <c r="I5" s="168"/>
      <c r="J5" s="171"/>
    </row>
    <row r="6" spans="1:34" x14ac:dyDescent="0.2">
      <c r="A6" s="172" t="s">
        <v>3</v>
      </c>
      <c r="B6" s="168"/>
      <c r="C6" s="168"/>
      <c r="D6" s="121" t="s">
        <v>406</v>
      </c>
      <c r="E6" s="173" t="s">
        <v>152</v>
      </c>
      <c r="F6" s="168"/>
      <c r="G6" s="168"/>
      <c r="H6" s="168"/>
      <c r="I6" s="173" t="s">
        <v>173</v>
      </c>
      <c r="J6" s="139"/>
    </row>
    <row r="7" spans="1:34" ht="30" customHeight="1" x14ac:dyDescent="0.2">
      <c r="A7" s="167"/>
      <c r="B7" s="168"/>
      <c r="C7" s="168"/>
      <c r="D7" s="122"/>
      <c r="E7" s="168"/>
      <c r="F7" s="168"/>
      <c r="G7" s="168"/>
      <c r="H7" s="168"/>
      <c r="I7" s="168"/>
      <c r="J7" s="140"/>
    </row>
    <row r="8" spans="1:34" x14ac:dyDescent="0.2">
      <c r="A8" s="172" t="s">
        <v>240</v>
      </c>
      <c r="B8" s="168"/>
      <c r="C8" s="168"/>
      <c r="D8" s="121" t="s">
        <v>490</v>
      </c>
      <c r="E8" s="173" t="s">
        <v>153</v>
      </c>
      <c r="F8" s="168"/>
      <c r="G8" s="182">
        <v>43256</v>
      </c>
      <c r="H8" s="168"/>
      <c r="I8" s="173" t="s">
        <v>174</v>
      </c>
      <c r="J8" s="174"/>
    </row>
    <row r="9" spans="1:34" ht="13.5" thickBot="1" x14ac:dyDescent="0.25">
      <c r="A9" s="181"/>
      <c r="B9" s="179"/>
      <c r="C9" s="179"/>
      <c r="D9" s="123"/>
      <c r="E9" s="179"/>
      <c r="F9" s="179"/>
      <c r="G9" s="179"/>
      <c r="H9" s="179"/>
      <c r="I9" s="179"/>
      <c r="J9" s="180"/>
    </row>
    <row r="10" spans="1:34" x14ac:dyDescent="0.2">
      <c r="A10" s="1" t="s">
        <v>5</v>
      </c>
      <c r="B10" s="5" t="s">
        <v>5</v>
      </c>
      <c r="C10" s="5" t="s">
        <v>5</v>
      </c>
      <c r="D10" s="69" t="s">
        <v>5</v>
      </c>
      <c r="E10" s="34" t="s">
        <v>5</v>
      </c>
      <c r="F10" s="5" t="s">
        <v>5</v>
      </c>
      <c r="G10" s="11" t="s">
        <v>166</v>
      </c>
      <c r="H10" s="176" t="s">
        <v>168</v>
      </c>
      <c r="I10" s="177"/>
      <c r="J10" s="178"/>
    </row>
    <row r="11" spans="1:34" ht="13.5" thickBot="1" x14ac:dyDescent="0.25">
      <c r="A11" s="2" t="s">
        <v>6</v>
      </c>
      <c r="B11" s="6" t="s">
        <v>67</v>
      </c>
      <c r="C11" s="6" t="s">
        <v>71</v>
      </c>
      <c r="D11" s="70" t="s">
        <v>115</v>
      </c>
      <c r="E11" s="38" t="s">
        <v>154</v>
      </c>
      <c r="F11" s="8" t="s">
        <v>165</v>
      </c>
      <c r="G11" s="12" t="s">
        <v>167</v>
      </c>
      <c r="H11" s="13" t="s">
        <v>169</v>
      </c>
      <c r="I11" s="14" t="s">
        <v>175</v>
      </c>
      <c r="J11" s="15" t="s">
        <v>176</v>
      </c>
      <c r="M11" s="16" t="s">
        <v>178</v>
      </c>
      <c r="N11" s="16" t="s">
        <v>179</v>
      </c>
      <c r="O11" s="16" t="s">
        <v>184</v>
      </c>
      <c r="P11" s="16" t="s">
        <v>185</v>
      </c>
      <c r="Q11" s="16" t="s">
        <v>186</v>
      </c>
      <c r="R11" s="16" t="s">
        <v>187</v>
      </c>
      <c r="S11" s="16" t="s">
        <v>188</v>
      </c>
      <c r="T11" s="16" t="s">
        <v>189</v>
      </c>
      <c r="U11" s="16" t="s">
        <v>190</v>
      </c>
    </row>
    <row r="12" spans="1:34" x14ac:dyDescent="0.2">
      <c r="A12" s="3"/>
      <c r="B12" s="3"/>
      <c r="C12" s="7" t="s">
        <v>7</v>
      </c>
      <c r="D12" s="162" t="s">
        <v>457</v>
      </c>
      <c r="E12" s="175"/>
      <c r="F12" s="175"/>
      <c r="G12" s="175"/>
      <c r="H12" s="22">
        <f>SUM(H13:H39)</f>
        <v>0</v>
      </c>
      <c r="I12" s="22">
        <f>SUM(I13:I39)</f>
        <v>0</v>
      </c>
      <c r="J12" s="22">
        <f>H12+I12</f>
        <v>0</v>
      </c>
      <c r="M12" s="22">
        <f>IF(N12="PR",J12,SUM(L20:L20))</f>
        <v>0</v>
      </c>
      <c r="N12" s="16" t="s">
        <v>180</v>
      </c>
      <c r="O12" s="22">
        <f>IF(N12="HS",H12,0)</f>
        <v>0</v>
      </c>
      <c r="P12" s="22">
        <f>IF(N12="HS",I12-M12,0)</f>
        <v>0</v>
      </c>
      <c r="Q12" s="22">
        <f>IF(N12="PS",H12,0)</f>
        <v>0</v>
      </c>
      <c r="R12" s="22">
        <f>IF(N12="PS",I12-M12,0)</f>
        <v>0</v>
      </c>
      <c r="S12" s="22">
        <f>IF(N12="MP",H12,0)</f>
        <v>0</v>
      </c>
      <c r="T12" s="22">
        <f>IF(N12="MP",I12-M12,0)</f>
        <v>0</v>
      </c>
      <c r="U12" s="22">
        <f>IF(N12="OM",H12,0)</f>
        <v>0</v>
      </c>
      <c r="V12" s="16" t="s">
        <v>68</v>
      </c>
      <c r="AF12" s="22">
        <f>SUM(W20:W20)</f>
        <v>0</v>
      </c>
      <c r="AG12" s="22">
        <f>SUM(X20:X20)</f>
        <v>0</v>
      </c>
      <c r="AH12" s="22">
        <f>SUM(Y20:Y20)</f>
        <v>0</v>
      </c>
    </row>
    <row r="13" spans="1:34" ht="17.45" customHeight="1" x14ac:dyDescent="0.2">
      <c r="A13" s="75" t="s">
        <v>7</v>
      </c>
      <c r="B13" s="75"/>
      <c r="C13" s="24" t="s">
        <v>77</v>
      </c>
      <c r="D13" s="29" t="s">
        <v>355</v>
      </c>
      <c r="E13" s="35" t="s">
        <v>155</v>
      </c>
      <c r="F13" s="30">
        <f>F14</f>
        <v>86.14</v>
      </c>
      <c r="G13" s="30">
        <v>0</v>
      </c>
      <c r="H13" s="9">
        <f>ROUND(F13*AB13,2)</f>
        <v>0</v>
      </c>
      <c r="I13" s="9">
        <f>J13-H13</f>
        <v>0</v>
      </c>
      <c r="J13" s="9">
        <f>ROUND(F13*G13,2)</f>
        <v>0</v>
      </c>
      <c r="K13" s="20"/>
      <c r="L13" s="10"/>
      <c r="W13" s="10"/>
      <c r="X13" s="10"/>
      <c r="Y13" s="10"/>
      <c r="AA13" s="21"/>
      <c r="AB13" s="21"/>
      <c r="AC13" s="21"/>
    </row>
    <row r="14" spans="1:34" ht="17.45" customHeight="1" x14ac:dyDescent="0.2">
      <c r="A14" s="75"/>
      <c r="B14" s="75"/>
      <c r="C14" s="24"/>
      <c r="D14" s="40" t="s">
        <v>356</v>
      </c>
      <c r="E14" s="35"/>
      <c r="F14" s="74">
        <v>86.14</v>
      </c>
      <c r="G14" s="30"/>
      <c r="H14" s="9"/>
      <c r="I14" s="9"/>
      <c r="J14" s="9"/>
      <c r="K14" s="20"/>
      <c r="L14" s="10"/>
      <c r="W14" s="10"/>
      <c r="X14" s="10"/>
      <c r="Y14" s="10"/>
      <c r="AA14" s="21"/>
      <c r="AB14" s="21"/>
      <c r="AC14" s="21"/>
    </row>
    <row r="15" spans="1:34" ht="17.45" customHeight="1" x14ac:dyDescent="0.2">
      <c r="A15" s="24" t="s">
        <v>177</v>
      </c>
      <c r="B15" s="24"/>
      <c r="C15" s="24" t="s">
        <v>78</v>
      </c>
      <c r="D15" s="29" t="s">
        <v>124</v>
      </c>
      <c r="E15" s="35" t="s">
        <v>155</v>
      </c>
      <c r="F15" s="30">
        <f>F16</f>
        <v>86.14</v>
      </c>
      <c r="G15" s="30">
        <v>0</v>
      </c>
      <c r="H15" s="9">
        <f>ROUND(F15*AB15,2)</f>
        <v>0</v>
      </c>
      <c r="I15" s="9">
        <f>J15-H15</f>
        <v>0</v>
      </c>
      <c r="J15" s="9">
        <f>ROUND(F15*G15,2)</f>
        <v>0</v>
      </c>
      <c r="K15" s="19"/>
      <c r="L15" s="9"/>
      <c r="W15" s="9">
        <f>IF(AA15=0,J15,0)</f>
        <v>0</v>
      </c>
      <c r="X15" s="9">
        <f>IF(AA15=15,J15,0)</f>
        <v>0</v>
      </c>
      <c r="Y15" s="9">
        <f>IF(AA15=21,J15,0)</f>
        <v>0</v>
      </c>
      <c r="AA15" s="21">
        <v>21</v>
      </c>
      <c r="AB15" s="21">
        <f>G15*0</f>
        <v>0</v>
      </c>
      <c r="AC15" s="21">
        <f>G15*(1-0)</f>
        <v>0</v>
      </c>
    </row>
    <row r="16" spans="1:34" ht="17.45" customHeight="1" x14ac:dyDescent="0.2">
      <c r="A16" s="24"/>
      <c r="B16" s="24"/>
      <c r="C16" s="24"/>
      <c r="D16" s="40" t="s">
        <v>356</v>
      </c>
      <c r="E16" s="35"/>
      <c r="F16" s="74">
        <v>86.14</v>
      </c>
      <c r="G16" s="30"/>
      <c r="H16" s="9"/>
      <c r="I16" s="9"/>
      <c r="J16" s="9"/>
      <c r="K16" s="19"/>
      <c r="L16" s="9"/>
      <c r="W16" s="9"/>
      <c r="X16" s="9"/>
      <c r="Y16" s="9"/>
      <c r="AA16" s="21"/>
      <c r="AB16" s="21"/>
      <c r="AC16" s="21"/>
    </row>
    <row r="17" spans="1:29" ht="17.45" customHeight="1" x14ac:dyDescent="0.2">
      <c r="A17" s="24" t="s">
        <v>9</v>
      </c>
      <c r="B17" s="24"/>
      <c r="C17" s="24" t="s">
        <v>95</v>
      </c>
      <c r="D17" s="29" t="s">
        <v>285</v>
      </c>
      <c r="E17" s="35" t="s">
        <v>156</v>
      </c>
      <c r="F17" s="30">
        <f>F18</f>
        <v>56.174999999999997</v>
      </c>
      <c r="G17" s="30">
        <v>0</v>
      </c>
      <c r="H17" s="9">
        <f>+F17*G17*0.7</f>
        <v>0</v>
      </c>
      <c r="I17" s="9">
        <f>J17-H17</f>
        <v>0</v>
      </c>
      <c r="J17" s="9">
        <f>ROUND(F17*G17,2)</f>
        <v>0</v>
      </c>
      <c r="K17" s="19"/>
      <c r="L17" s="9"/>
      <c r="W17" s="9"/>
      <c r="X17" s="9"/>
      <c r="Y17" s="9"/>
      <c r="AA17" s="21"/>
      <c r="AB17" s="21"/>
      <c r="AC17" s="21"/>
    </row>
    <row r="18" spans="1:29" ht="17.45" customHeight="1" x14ac:dyDescent="0.2">
      <c r="A18" s="24"/>
      <c r="B18" s="24"/>
      <c r="C18" s="24"/>
      <c r="D18" s="40" t="s">
        <v>361</v>
      </c>
      <c r="E18" s="35"/>
      <c r="F18" s="74">
        <f>55.39+0.785</f>
        <v>56.174999999999997</v>
      </c>
      <c r="G18" s="30"/>
      <c r="H18" s="9"/>
      <c r="I18" s="9"/>
      <c r="J18" s="9"/>
      <c r="K18" s="19"/>
      <c r="L18" s="9"/>
      <c r="W18" s="9"/>
      <c r="X18" s="9"/>
      <c r="Y18" s="9"/>
      <c r="AA18" s="21"/>
      <c r="AB18" s="21"/>
      <c r="AC18" s="21"/>
    </row>
    <row r="19" spans="1:29" ht="25.15" customHeight="1" x14ac:dyDescent="0.2">
      <c r="A19" s="24" t="s">
        <v>10</v>
      </c>
      <c r="B19" s="24"/>
      <c r="C19" s="24" t="s">
        <v>94</v>
      </c>
      <c r="D19" s="29" t="s">
        <v>296</v>
      </c>
      <c r="E19" s="35" t="s">
        <v>156</v>
      </c>
      <c r="F19" s="30">
        <f>F20</f>
        <v>56.18</v>
      </c>
      <c r="G19" s="30">
        <v>0</v>
      </c>
      <c r="H19" s="9">
        <v>0</v>
      </c>
      <c r="I19" s="9">
        <f>+F19*G19</f>
        <v>0</v>
      </c>
      <c r="J19" s="9">
        <f>ROUND(F19*G19,2)</f>
        <v>0</v>
      </c>
      <c r="K19" s="19"/>
      <c r="L19" s="9"/>
      <c r="W19" s="9">
        <f>IF(AA19=0,J21,0)</f>
        <v>0</v>
      </c>
      <c r="X19" s="9">
        <f>IF(AA19=15,J21,0)</f>
        <v>0</v>
      </c>
      <c r="Y19" s="9">
        <f>IF(AA19=21,J21,0)</f>
        <v>0</v>
      </c>
      <c r="AA19" s="21">
        <v>21</v>
      </c>
      <c r="AB19" s="21">
        <f>G21*0.776770775237033</f>
        <v>0</v>
      </c>
      <c r="AC19" s="21">
        <f>G21*(1-0.776770775237033)</f>
        <v>0</v>
      </c>
    </row>
    <row r="20" spans="1:29" ht="17.45" customHeight="1" x14ac:dyDescent="0.2">
      <c r="A20" s="24"/>
      <c r="B20" s="24"/>
      <c r="C20" s="24"/>
      <c r="D20" s="40" t="s">
        <v>361</v>
      </c>
      <c r="E20" s="35"/>
      <c r="F20" s="74">
        <v>56.18</v>
      </c>
      <c r="G20" s="30"/>
      <c r="H20" s="9"/>
      <c r="I20" s="9"/>
      <c r="J20" s="9"/>
      <c r="K20" s="19"/>
      <c r="L20" s="9"/>
      <c r="W20" s="9"/>
      <c r="X20" s="9"/>
      <c r="Y20" s="9"/>
      <c r="AA20" s="21"/>
      <c r="AB20" s="21"/>
      <c r="AC20" s="21"/>
    </row>
    <row r="21" spans="1:29" ht="17.45" customHeight="1" x14ac:dyDescent="0.2">
      <c r="A21" s="75" t="s">
        <v>11</v>
      </c>
      <c r="B21" s="75"/>
      <c r="C21" s="24" t="s">
        <v>359</v>
      </c>
      <c r="D21" s="29" t="s">
        <v>357</v>
      </c>
      <c r="E21" s="35" t="s">
        <v>156</v>
      </c>
      <c r="F21" s="30">
        <f>SUM(F22:F24)</f>
        <v>145.47</v>
      </c>
      <c r="G21" s="30">
        <v>0</v>
      </c>
      <c r="H21" s="9">
        <f>+F21*G21*0.7</f>
        <v>0</v>
      </c>
      <c r="I21" s="9">
        <f>J21-H21</f>
        <v>0</v>
      </c>
      <c r="J21" s="9">
        <f>ROUND(F21*G21,2)</f>
        <v>0</v>
      </c>
      <c r="K21" s="20"/>
      <c r="L21" s="10"/>
      <c r="W21" s="10"/>
      <c r="X21" s="10"/>
      <c r="Y21" s="10"/>
      <c r="AA21" s="21"/>
      <c r="AB21" s="21"/>
      <c r="AC21" s="21"/>
    </row>
    <row r="22" spans="1:29" ht="17.45" customHeight="1" x14ac:dyDescent="0.2">
      <c r="A22" s="75"/>
      <c r="B22" s="75"/>
      <c r="C22" s="24"/>
      <c r="D22" s="40" t="s">
        <v>371</v>
      </c>
      <c r="E22" s="35"/>
      <c r="F22" s="74">
        <v>131</v>
      </c>
      <c r="G22" s="30"/>
      <c r="H22" s="9"/>
      <c r="I22" s="9"/>
      <c r="J22" s="9"/>
      <c r="K22" s="20"/>
      <c r="L22" s="10"/>
      <c r="W22" s="10"/>
      <c r="X22" s="10"/>
      <c r="Y22" s="10"/>
      <c r="AA22" s="21"/>
      <c r="AB22" s="21"/>
      <c r="AC22" s="21"/>
    </row>
    <row r="23" spans="1:29" ht="17.45" customHeight="1" x14ac:dyDescent="0.2">
      <c r="A23" s="75"/>
      <c r="B23" s="75"/>
      <c r="C23" s="24"/>
      <c r="D23" s="40" t="s">
        <v>362</v>
      </c>
      <c r="E23" s="35"/>
      <c r="F23" s="74">
        <v>2.4</v>
      </c>
      <c r="G23" s="30"/>
      <c r="H23" s="9"/>
      <c r="I23" s="9"/>
      <c r="J23" s="9"/>
      <c r="K23" s="20"/>
      <c r="L23" s="10"/>
      <c r="W23" s="10"/>
      <c r="X23" s="10"/>
      <c r="Y23" s="10"/>
      <c r="AA23" s="21"/>
      <c r="AB23" s="21"/>
      <c r="AC23" s="21"/>
    </row>
    <row r="24" spans="1:29" ht="17.45" customHeight="1" x14ac:dyDescent="0.2">
      <c r="A24" s="75"/>
      <c r="B24" s="75"/>
      <c r="C24" s="76"/>
      <c r="D24" s="40" t="s">
        <v>364</v>
      </c>
      <c r="E24" s="35"/>
      <c r="F24" s="74">
        <v>12.07</v>
      </c>
      <c r="G24" s="77"/>
      <c r="H24" s="78"/>
      <c r="I24" s="78"/>
      <c r="J24" s="78"/>
      <c r="K24" s="20"/>
      <c r="L24" s="10"/>
      <c r="W24" s="10"/>
      <c r="X24" s="10"/>
      <c r="Y24" s="10"/>
      <c r="AA24" s="21"/>
      <c r="AB24" s="21"/>
      <c r="AC24" s="21"/>
    </row>
    <row r="25" spans="1:29" ht="17.45" customHeight="1" x14ac:dyDescent="0.2">
      <c r="A25" s="75" t="s">
        <v>12</v>
      </c>
      <c r="B25" s="75"/>
      <c r="C25" s="24" t="s">
        <v>360</v>
      </c>
      <c r="D25" s="29" t="s">
        <v>358</v>
      </c>
      <c r="E25" s="35" t="s">
        <v>156</v>
      </c>
      <c r="F25" s="30">
        <f>SUM(F26:F28)</f>
        <v>145.47</v>
      </c>
      <c r="G25" s="30">
        <v>0</v>
      </c>
      <c r="H25" s="9">
        <f>+F25*G25*0.7</f>
        <v>0</v>
      </c>
      <c r="I25" s="9">
        <f>J25-H25</f>
        <v>0</v>
      </c>
      <c r="J25" s="9">
        <f>ROUND(F25*G25,2)</f>
        <v>0</v>
      </c>
      <c r="K25" s="20"/>
      <c r="L25" s="10"/>
      <c r="W25" s="10"/>
      <c r="X25" s="10"/>
      <c r="Y25" s="10"/>
      <c r="AA25" s="21"/>
      <c r="AB25" s="21"/>
      <c r="AC25" s="21"/>
    </row>
    <row r="26" spans="1:29" ht="17.45" customHeight="1" x14ac:dyDescent="0.2">
      <c r="A26" s="75"/>
      <c r="B26" s="75"/>
      <c r="C26" s="76"/>
      <c r="D26" s="40" t="s">
        <v>363</v>
      </c>
      <c r="E26" s="35"/>
      <c r="F26" s="74">
        <v>131</v>
      </c>
      <c r="G26" s="77"/>
      <c r="H26" s="78"/>
      <c r="I26" s="78"/>
      <c r="J26" s="78"/>
      <c r="K26" s="20"/>
      <c r="L26" s="10"/>
      <c r="W26" s="10"/>
      <c r="X26" s="10"/>
      <c r="Y26" s="10"/>
      <c r="AA26" s="21"/>
      <c r="AB26" s="21"/>
      <c r="AC26" s="21"/>
    </row>
    <row r="27" spans="1:29" ht="17.45" customHeight="1" x14ac:dyDescent="0.2">
      <c r="A27" s="75"/>
      <c r="B27" s="75"/>
      <c r="C27" s="76"/>
      <c r="D27" s="40" t="s">
        <v>362</v>
      </c>
      <c r="E27" s="77"/>
      <c r="F27" s="74">
        <v>2.4</v>
      </c>
      <c r="G27" s="77"/>
      <c r="H27" s="78"/>
      <c r="I27" s="78"/>
      <c r="J27" s="78"/>
      <c r="K27" s="20"/>
      <c r="L27" s="10"/>
      <c r="W27" s="10"/>
      <c r="X27" s="10"/>
      <c r="Y27" s="10"/>
      <c r="AA27" s="21"/>
      <c r="AB27" s="21"/>
      <c r="AC27" s="21"/>
    </row>
    <row r="28" spans="1:29" ht="17.45" customHeight="1" x14ac:dyDescent="0.2">
      <c r="A28" s="24"/>
      <c r="B28" s="24"/>
      <c r="C28" s="28"/>
      <c r="D28" s="40" t="s">
        <v>364</v>
      </c>
      <c r="E28" s="36"/>
      <c r="F28" s="74">
        <v>12.07</v>
      </c>
      <c r="G28" s="33"/>
      <c r="H28" s="10"/>
      <c r="I28" s="10"/>
      <c r="J28" s="10"/>
      <c r="K28" s="20"/>
      <c r="L28" s="10"/>
      <c r="W28" s="10"/>
      <c r="X28" s="10"/>
      <c r="Y28" s="10"/>
      <c r="AA28" s="21"/>
      <c r="AB28" s="21"/>
      <c r="AC28" s="21"/>
    </row>
    <row r="29" spans="1:29" ht="27.6" customHeight="1" x14ac:dyDescent="0.2">
      <c r="A29" s="24" t="s">
        <v>13</v>
      </c>
      <c r="B29" s="24"/>
      <c r="C29" s="28" t="s">
        <v>368</v>
      </c>
      <c r="D29" s="29" t="s">
        <v>369</v>
      </c>
      <c r="E29" s="35" t="s">
        <v>155</v>
      </c>
      <c r="F29" s="30">
        <f>SUM(F30:F32)</f>
        <v>53.527999999999999</v>
      </c>
      <c r="G29" s="30">
        <v>0</v>
      </c>
      <c r="H29" s="9">
        <f>ROUND(F29*AB29,2)</f>
        <v>0</v>
      </c>
      <c r="I29" s="9">
        <f>J29-H29</f>
        <v>0</v>
      </c>
      <c r="J29" s="9">
        <f>ROUND(F29*G29,2)</f>
        <v>0</v>
      </c>
      <c r="K29" s="20"/>
      <c r="L29" s="10"/>
      <c r="W29" s="10"/>
      <c r="X29" s="10"/>
      <c r="Y29" s="10"/>
      <c r="AA29" s="21"/>
      <c r="AB29" s="21"/>
      <c r="AC29" s="21"/>
    </row>
    <row r="30" spans="1:29" ht="17.45" customHeight="1" x14ac:dyDescent="0.2">
      <c r="A30" s="24"/>
      <c r="B30" s="24"/>
      <c r="C30" s="28"/>
      <c r="D30" s="40" t="s">
        <v>365</v>
      </c>
      <c r="E30" s="35"/>
      <c r="F30" s="74">
        <v>46.5</v>
      </c>
      <c r="G30" s="33"/>
      <c r="H30" s="10"/>
      <c r="I30" s="10"/>
      <c r="J30" s="10"/>
      <c r="K30" s="20"/>
      <c r="L30" s="10"/>
      <c r="W30" s="10"/>
      <c r="X30" s="10"/>
      <c r="Y30" s="10"/>
      <c r="AA30" s="21"/>
      <c r="AB30" s="21"/>
      <c r="AC30" s="21"/>
    </row>
    <row r="31" spans="1:29" ht="17.45" customHeight="1" x14ac:dyDescent="0.2">
      <c r="A31" s="24"/>
      <c r="B31" s="24"/>
      <c r="C31" s="28"/>
      <c r="D31" s="40" t="s">
        <v>366</v>
      </c>
      <c r="E31" s="35"/>
      <c r="F31" s="74">
        <v>6.4</v>
      </c>
      <c r="G31" s="33"/>
      <c r="H31" s="10"/>
      <c r="I31" s="10"/>
      <c r="J31" s="10"/>
      <c r="K31" s="20"/>
      <c r="L31" s="10"/>
      <c r="W31" s="10"/>
      <c r="X31" s="10"/>
      <c r="Y31" s="10"/>
      <c r="AA31" s="21"/>
      <c r="AB31" s="21"/>
      <c r="AC31" s="21"/>
    </row>
    <row r="32" spans="1:29" ht="17.45" customHeight="1" x14ac:dyDescent="0.2">
      <c r="A32" s="24"/>
      <c r="B32" s="24"/>
      <c r="C32" s="28"/>
      <c r="D32" s="40" t="s">
        <v>367</v>
      </c>
      <c r="E32" s="35"/>
      <c r="F32" s="74">
        <v>0.628</v>
      </c>
      <c r="G32" s="33"/>
      <c r="H32" s="10"/>
      <c r="I32" s="10"/>
      <c r="J32" s="10"/>
      <c r="K32" s="20"/>
      <c r="L32" s="10"/>
      <c r="W32" s="10"/>
      <c r="X32" s="10"/>
      <c r="Y32" s="10"/>
      <c r="AA32" s="21"/>
      <c r="AB32" s="21"/>
      <c r="AC32" s="21"/>
    </row>
    <row r="33" spans="1:35" s="87" customFormat="1" ht="17.45" customHeight="1" x14ac:dyDescent="0.2">
      <c r="A33" s="82" t="s">
        <v>14</v>
      </c>
      <c r="B33" s="82"/>
      <c r="C33" s="24" t="s">
        <v>95</v>
      </c>
      <c r="D33" s="83" t="s">
        <v>493</v>
      </c>
      <c r="E33" s="84" t="s">
        <v>155</v>
      </c>
      <c r="F33" s="85">
        <f>F34</f>
        <v>27</v>
      </c>
      <c r="G33" s="85">
        <v>0</v>
      </c>
      <c r="H33" s="86">
        <f>ROUND(F33*AB33,2)</f>
        <v>0</v>
      </c>
      <c r="I33" s="86">
        <f>J33-H33</f>
        <v>0</v>
      </c>
      <c r="J33" s="86">
        <f>ROUND(F33*G33,2)</f>
        <v>0</v>
      </c>
      <c r="K33" s="90"/>
      <c r="L33" s="86"/>
      <c r="W33" s="86"/>
      <c r="X33" s="86"/>
      <c r="Y33" s="86"/>
      <c r="AA33" s="86"/>
      <c r="AB33" s="86"/>
      <c r="AC33" s="86"/>
    </row>
    <row r="34" spans="1:35" s="87" customFormat="1" ht="17.45" customHeight="1" x14ac:dyDescent="0.2">
      <c r="A34" s="82"/>
      <c r="B34" s="82"/>
      <c r="C34" s="82"/>
      <c r="D34" s="84" t="s">
        <v>370</v>
      </c>
      <c r="E34" s="84"/>
      <c r="F34" s="98">
        <v>27</v>
      </c>
      <c r="G34" s="85"/>
      <c r="H34" s="86"/>
      <c r="I34" s="86"/>
      <c r="J34" s="86"/>
      <c r="K34" s="90"/>
      <c r="L34" s="86"/>
      <c r="W34" s="86"/>
      <c r="X34" s="86"/>
      <c r="Y34" s="86"/>
      <c r="AA34" s="86"/>
      <c r="AB34" s="86"/>
      <c r="AC34" s="86"/>
    </row>
    <row r="35" spans="1:35" ht="17.45" customHeight="1" x14ac:dyDescent="0.2">
      <c r="A35" s="24" t="s">
        <v>15</v>
      </c>
      <c r="B35" s="24"/>
      <c r="C35" s="24" t="s">
        <v>95</v>
      </c>
      <c r="D35" s="29" t="s">
        <v>285</v>
      </c>
      <c r="E35" s="35" t="s">
        <v>155</v>
      </c>
      <c r="F35" s="30">
        <f>F36</f>
        <v>27</v>
      </c>
      <c r="G35" s="30">
        <v>0</v>
      </c>
      <c r="H35" s="9">
        <f>ROUND(F35*AB35,2)</f>
        <v>0</v>
      </c>
      <c r="I35" s="9">
        <f>J35-H35</f>
        <v>0</v>
      </c>
      <c r="J35" s="9">
        <f>ROUND(F35*G35,2)</f>
        <v>0</v>
      </c>
      <c r="K35" s="20"/>
      <c r="L35" s="10"/>
      <c r="W35" s="10"/>
      <c r="X35" s="10"/>
      <c r="Y35" s="10"/>
      <c r="AA35" s="21"/>
      <c r="AB35" s="21"/>
      <c r="AC35" s="21"/>
    </row>
    <row r="36" spans="1:35" ht="17.45" customHeight="1" x14ac:dyDescent="0.2">
      <c r="A36" s="24"/>
      <c r="B36" s="24"/>
      <c r="C36" s="28"/>
      <c r="D36" s="40" t="s">
        <v>374</v>
      </c>
      <c r="E36" s="35"/>
      <c r="F36" s="74">
        <v>27</v>
      </c>
      <c r="G36" s="33"/>
      <c r="H36" s="10"/>
      <c r="I36" s="10"/>
      <c r="J36" s="10"/>
      <c r="K36" s="20"/>
      <c r="L36" s="10"/>
      <c r="W36" s="10"/>
      <c r="X36" s="10"/>
      <c r="Y36" s="10"/>
      <c r="AA36" s="21"/>
      <c r="AB36" s="21"/>
      <c r="AC36" s="21"/>
    </row>
    <row r="37" spans="1:35" ht="26.45" customHeight="1" x14ac:dyDescent="0.2">
      <c r="A37" s="24" t="s">
        <v>16</v>
      </c>
      <c r="B37" s="24"/>
      <c r="C37" s="28" t="s">
        <v>492</v>
      </c>
      <c r="D37" s="29" t="s">
        <v>373</v>
      </c>
      <c r="E37" s="35" t="s">
        <v>156</v>
      </c>
      <c r="F37" s="30">
        <f>SUM(F38:F39)</f>
        <v>28.6</v>
      </c>
      <c r="G37" s="30">
        <v>0</v>
      </c>
      <c r="H37" s="9">
        <f>+F37*G37*0.7</f>
        <v>0</v>
      </c>
      <c r="I37" s="9">
        <f>J37-H37</f>
        <v>0</v>
      </c>
      <c r="J37" s="9">
        <f>ROUND(F37*G37,2)</f>
        <v>0</v>
      </c>
      <c r="K37" s="20"/>
      <c r="L37" s="10"/>
      <c r="W37" s="10"/>
      <c r="X37" s="10"/>
      <c r="Y37" s="10"/>
      <c r="AA37" s="21"/>
      <c r="AB37" s="21"/>
      <c r="AC37" s="21"/>
    </row>
    <row r="38" spans="1:35" ht="17.45" customHeight="1" x14ac:dyDescent="0.2">
      <c r="A38" s="24"/>
      <c r="B38" s="24"/>
      <c r="C38" s="28"/>
      <c r="D38" s="40" t="s">
        <v>372</v>
      </c>
      <c r="E38" s="35"/>
      <c r="F38" s="74">
        <v>27.6</v>
      </c>
      <c r="G38" s="33"/>
      <c r="H38" s="10"/>
      <c r="I38" s="10"/>
      <c r="J38" s="10"/>
      <c r="K38" s="20"/>
      <c r="L38" s="10"/>
      <c r="W38" s="10"/>
      <c r="X38" s="10"/>
      <c r="Y38" s="10"/>
      <c r="AA38" s="21"/>
      <c r="AB38" s="21"/>
      <c r="AC38" s="21"/>
    </row>
    <row r="39" spans="1:35" ht="30.6" customHeight="1" x14ac:dyDescent="0.2">
      <c r="A39" s="24" t="s">
        <v>17</v>
      </c>
      <c r="B39" s="24"/>
      <c r="C39" s="28" t="s">
        <v>491</v>
      </c>
      <c r="D39" s="29" t="s">
        <v>375</v>
      </c>
      <c r="E39" s="35" t="s">
        <v>159</v>
      </c>
      <c r="F39" s="30">
        <v>1</v>
      </c>
      <c r="G39" s="30">
        <v>0</v>
      </c>
      <c r="H39" s="9">
        <f>+F39*G39*0.7</f>
        <v>0</v>
      </c>
      <c r="I39" s="9">
        <f>J39-H39</f>
        <v>0</v>
      </c>
      <c r="J39" s="9">
        <f>ROUND(F39*G39,2)</f>
        <v>0</v>
      </c>
      <c r="K39" s="20"/>
      <c r="L39" s="10"/>
      <c r="W39" s="10"/>
      <c r="X39" s="10"/>
      <c r="Y39" s="10"/>
      <c r="AA39" s="21"/>
      <c r="AB39" s="21"/>
      <c r="AC39" s="21"/>
    </row>
    <row r="40" spans="1:35" x14ac:dyDescent="0.2">
      <c r="A40" s="4"/>
      <c r="B40" s="4"/>
      <c r="C40" s="4"/>
      <c r="D40" s="46"/>
      <c r="E40" s="37"/>
      <c r="F40" s="4"/>
      <c r="G40" s="4"/>
      <c r="H40" s="39" t="s">
        <v>170</v>
      </c>
      <c r="I40" s="183">
        <f>J12</f>
        <v>0</v>
      </c>
      <c r="J40" s="183"/>
      <c r="K40" s="67">
        <f>I40</f>
        <v>0</v>
      </c>
      <c r="AI40" s="67">
        <f>+I40</f>
        <v>0</v>
      </c>
    </row>
    <row r="48" spans="1:35" x14ac:dyDescent="0.2">
      <c r="J48" s="67"/>
    </row>
  </sheetData>
  <sheetProtection algorithmName="SHA-512" hashValue="tqTnpLG90rNbcaybT2EeljdYBvjbjcmsdpKETlna40GrGo6AdktFT+tvVgsHA7MJM/L35DMltfPmtWRFKmi8Hw==" saltValue="AjA0zTEe8T8K+QYA3IghrQ==" spinCount="100000" sheet="1" objects="1" scenarios="1"/>
  <protectedRanges>
    <protectedRange sqref="G13:G39" name="Oblast1"/>
  </protectedRanges>
  <mergeCells count="28">
    <mergeCell ref="A1:J1"/>
    <mergeCell ref="A2:C3"/>
    <mergeCell ref="D2:D3"/>
    <mergeCell ref="E2:F3"/>
    <mergeCell ref="G2:H3"/>
    <mergeCell ref="I2:I3"/>
    <mergeCell ref="J2:J3"/>
    <mergeCell ref="J6:J7"/>
    <mergeCell ref="A4:C5"/>
    <mergeCell ref="D4:D5"/>
    <mergeCell ref="E4:F5"/>
    <mergeCell ref="G4:H5"/>
    <mergeCell ref="I4:I5"/>
    <mergeCell ref="J4:J5"/>
    <mergeCell ref="A6:C7"/>
    <mergeCell ref="D6:D7"/>
    <mergeCell ref="E6:F7"/>
    <mergeCell ref="G6:H7"/>
    <mergeCell ref="I6:I7"/>
    <mergeCell ref="H10:J10"/>
    <mergeCell ref="I40:J40"/>
    <mergeCell ref="D12:G12"/>
    <mergeCell ref="A8:C9"/>
    <mergeCell ref="D8:D9"/>
    <mergeCell ref="E8:F9"/>
    <mergeCell ref="G8:H9"/>
    <mergeCell ref="I8:I9"/>
    <mergeCell ref="J8:J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30"/>
  <sheetViews>
    <sheetView workbookViewId="0">
      <selection activeCell="AI30" sqref="AI30"/>
    </sheetView>
  </sheetViews>
  <sheetFormatPr defaultColWidth="11.5703125" defaultRowHeight="12.75" x14ac:dyDescent="0.2"/>
  <cols>
    <col min="1" max="1" width="3" customWidth="1"/>
    <col min="2" max="2" width="0.5703125" customWidth="1"/>
    <col min="3" max="3" width="11.7109375" style="27" customWidth="1"/>
    <col min="4" max="4" width="47.5703125" customWidth="1"/>
    <col min="5" max="5" width="5.7109375" style="27" customWidth="1"/>
    <col min="6" max="6" width="11.28515625" customWidth="1"/>
    <col min="7" max="7" width="11.7109375" customWidth="1"/>
    <col min="8" max="8" width="1.7109375" customWidth="1"/>
    <col min="9" max="9" width="11.42578125" customWidth="1"/>
    <col min="10" max="10" width="23.7109375" customWidth="1"/>
    <col min="11" max="34" width="9.7109375" hidden="1" customWidth="1"/>
    <col min="35" max="35" width="1" customWidth="1"/>
  </cols>
  <sheetData>
    <row r="1" spans="1:28" ht="18.75" customHeight="1" thickBot="1" x14ac:dyDescent="0.25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28" x14ac:dyDescent="0.2">
      <c r="A2" s="165" t="s">
        <v>1</v>
      </c>
      <c r="B2" s="166"/>
      <c r="C2" s="166"/>
      <c r="D2" s="156" t="s">
        <v>494</v>
      </c>
      <c r="E2" s="169" t="s">
        <v>150</v>
      </c>
      <c r="F2" s="166"/>
      <c r="G2" s="169"/>
      <c r="H2" s="166"/>
      <c r="I2" s="169" t="s">
        <v>171</v>
      </c>
      <c r="J2" s="170" t="s">
        <v>411</v>
      </c>
    </row>
    <row r="3" spans="1:28" x14ac:dyDescent="0.2">
      <c r="A3" s="167"/>
      <c r="B3" s="168"/>
      <c r="C3" s="168"/>
      <c r="D3" s="158"/>
      <c r="E3" s="168"/>
      <c r="F3" s="168"/>
      <c r="G3" s="168"/>
      <c r="H3" s="168"/>
      <c r="I3" s="168"/>
      <c r="J3" s="171"/>
    </row>
    <row r="4" spans="1:28" x14ac:dyDescent="0.2">
      <c r="A4" s="172" t="s">
        <v>2</v>
      </c>
      <c r="B4" s="168"/>
      <c r="C4" s="168"/>
      <c r="D4" s="121" t="s">
        <v>114</v>
      </c>
      <c r="E4" s="173" t="s">
        <v>151</v>
      </c>
      <c r="F4" s="168"/>
      <c r="G4" s="173" t="s">
        <v>5</v>
      </c>
      <c r="H4" s="168"/>
      <c r="I4" s="173" t="s">
        <v>172</v>
      </c>
      <c r="J4" s="174" t="s">
        <v>408</v>
      </c>
    </row>
    <row r="5" spans="1:28" x14ac:dyDescent="0.2">
      <c r="A5" s="167"/>
      <c r="B5" s="168"/>
      <c r="C5" s="168"/>
      <c r="D5" s="122"/>
      <c r="E5" s="168"/>
      <c r="F5" s="168"/>
      <c r="G5" s="168"/>
      <c r="H5" s="168"/>
      <c r="I5" s="168"/>
      <c r="J5" s="171"/>
    </row>
    <row r="6" spans="1:28" x14ac:dyDescent="0.2">
      <c r="A6" s="172" t="s">
        <v>3</v>
      </c>
      <c r="B6" s="168"/>
      <c r="C6" s="168"/>
      <c r="D6" s="121" t="s">
        <v>406</v>
      </c>
      <c r="E6" s="173" t="s">
        <v>152</v>
      </c>
      <c r="F6" s="168"/>
      <c r="G6" s="168"/>
      <c r="H6" s="168"/>
      <c r="I6" s="173" t="s">
        <v>173</v>
      </c>
      <c r="J6" s="139"/>
    </row>
    <row r="7" spans="1:28" ht="29.45" customHeight="1" x14ac:dyDescent="0.2">
      <c r="A7" s="167"/>
      <c r="B7" s="168"/>
      <c r="C7" s="168"/>
      <c r="D7" s="122"/>
      <c r="E7" s="168"/>
      <c r="F7" s="168"/>
      <c r="G7" s="168"/>
      <c r="H7" s="168"/>
      <c r="I7" s="168"/>
      <c r="J7" s="140"/>
    </row>
    <row r="8" spans="1:28" x14ac:dyDescent="0.2">
      <c r="A8" s="172" t="s">
        <v>241</v>
      </c>
      <c r="B8" s="168"/>
      <c r="C8" s="168"/>
      <c r="D8" s="121" t="s">
        <v>487</v>
      </c>
      <c r="E8" s="173" t="s">
        <v>153</v>
      </c>
      <c r="F8" s="168"/>
      <c r="G8" s="182">
        <v>43256</v>
      </c>
      <c r="H8" s="168"/>
      <c r="I8" s="173" t="s">
        <v>174</v>
      </c>
      <c r="J8" s="174"/>
    </row>
    <row r="9" spans="1:28" ht="13.5" thickBot="1" x14ac:dyDescent="0.25">
      <c r="A9" s="181"/>
      <c r="B9" s="179"/>
      <c r="C9" s="179"/>
      <c r="D9" s="123"/>
      <c r="E9" s="179"/>
      <c r="F9" s="179"/>
      <c r="G9" s="179"/>
      <c r="H9" s="179"/>
      <c r="I9" s="179"/>
      <c r="J9" s="180"/>
    </row>
    <row r="10" spans="1:28" x14ac:dyDescent="0.2">
      <c r="A10" s="1" t="s">
        <v>5</v>
      </c>
      <c r="B10" s="5" t="s">
        <v>5</v>
      </c>
      <c r="C10" s="34" t="s">
        <v>5</v>
      </c>
      <c r="D10" s="5" t="s">
        <v>5</v>
      </c>
      <c r="E10" s="34" t="s">
        <v>5</v>
      </c>
      <c r="F10" s="5" t="s">
        <v>5</v>
      </c>
      <c r="G10" s="11" t="s">
        <v>166</v>
      </c>
      <c r="H10" s="176" t="s">
        <v>168</v>
      </c>
      <c r="I10" s="177"/>
      <c r="J10" s="178"/>
    </row>
    <row r="11" spans="1:28" ht="13.5" thickBot="1" x14ac:dyDescent="0.25">
      <c r="A11" s="2" t="s">
        <v>6</v>
      </c>
      <c r="B11" s="6" t="s">
        <v>67</v>
      </c>
      <c r="C11" s="51" t="s">
        <v>71</v>
      </c>
      <c r="D11" s="6" t="s">
        <v>115</v>
      </c>
      <c r="E11" s="51" t="s">
        <v>154</v>
      </c>
      <c r="F11" s="8" t="s">
        <v>165</v>
      </c>
      <c r="G11" s="12" t="s">
        <v>167</v>
      </c>
      <c r="H11" s="13"/>
      <c r="I11" s="14"/>
      <c r="J11" s="15" t="s">
        <v>176</v>
      </c>
      <c r="M11" s="16" t="s">
        <v>178</v>
      </c>
      <c r="N11" s="16" t="s">
        <v>179</v>
      </c>
      <c r="O11" s="16" t="s">
        <v>184</v>
      </c>
      <c r="P11" s="16" t="s">
        <v>185</v>
      </c>
      <c r="Q11" s="16" t="s">
        <v>186</v>
      </c>
      <c r="R11" s="16" t="s">
        <v>187</v>
      </c>
      <c r="S11" s="16" t="s">
        <v>188</v>
      </c>
      <c r="T11" s="16" t="s">
        <v>189</v>
      </c>
      <c r="U11" s="16" t="s">
        <v>190</v>
      </c>
    </row>
    <row r="12" spans="1:28" x14ac:dyDescent="0.2">
      <c r="A12" s="7"/>
      <c r="B12" s="7"/>
      <c r="C12" s="26" t="s">
        <v>243</v>
      </c>
      <c r="D12" s="188" t="s">
        <v>242</v>
      </c>
      <c r="E12" s="189"/>
      <c r="F12" s="189"/>
      <c r="G12" s="189"/>
      <c r="H12" s="22"/>
      <c r="I12" s="22"/>
      <c r="J12" s="22">
        <f>J13+J15+J17+J19+J21+J23+J26+J28</f>
        <v>0</v>
      </c>
      <c r="K12" s="10" t="e">
        <f>IF(#REF!="5",I14,0)</f>
        <v>#REF!</v>
      </c>
      <c r="V12" s="10">
        <f>IF(Z12=0,J14,0)</f>
        <v>0</v>
      </c>
      <c r="W12" s="10">
        <f>IF(Z12=15,J14,0)</f>
        <v>0</v>
      </c>
      <c r="X12" s="10">
        <f>IF(Z12=21,J14,0)</f>
        <v>0</v>
      </c>
      <c r="Z12" s="21">
        <v>21</v>
      </c>
      <c r="AA12" s="21">
        <f>G14*1</f>
        <v>0</v>
      </c>
      <c r="AB12" s="21">
        <f>G14*(1-1)</f>
        <v>0</v>
      </c>
    </row>
    <row r="13" spans="1:28" x14ac:dyDescent="0.2">
      <c r="A13" s="27">
        <v>1</v>
      </c>
      <c r="C13" s="71" t="s">
        <v>244</v>
      </c>
      <c r="D13" s="59" t="s">
        <v>245</v>
      </c>
      <c r="E13" s="57" t="s">
        <v>164</v>
      </c>
      <c r="F13" s="60">
        <v>1</v>
      </c>
      <c r="G13" s="61">
        <v>0</v>
      </c>
      <c r="H13" s="62"/>
      <c r="J13">
        <f>+F13*G13</f>
        <v>0</v>
      </c>
      <c r="L13" s="185">
        <f>ROUND($L$106*$K$106,1)</f>
        <v>0</v>
      </c>
      <c r="M13" s="186"/>
      <c r="N13" s="186"/>
      <c r="O13" s="187"/>
    </row>
    <row r="14" spans="1:28" ht="27.6" customHeight="1" x14ac:dyDescent="0.2">
      <c r="A14" s="27"/>
      <c r="C14" s="72"/>
      <c r="D14" s="53" t="s">
        <v>246</v>
      </c>
      <c r="E14" s="58"/>
      <c r="F14" s="52"/>
      <c r="G14" s="63"/>
      <c r="H14" s="63"/>
      <c r="L14" s="52"/>
      <c r="M14" s="52"/>
      <c r="N14" s="52"/>
      <c r="O14" s="52"/>
    </row>
    <row r="15" spans="1:28" x14ac:dyDescent="0.2">
      <c r="A15" s="27">
        <v>2</v>
      </c>
      <c r="C15" s="73" t="s">
        <v>247</v>
      </c>
      <c r="D15" s="54" t="s">
        <v>248</v>
      </c>
      <c r="E15" s="57" t="s">
        <v>164</v>
      </c>
      <c r="F15" s="56">
        <v>1</v>
      </c>
      <c r="G15" s="64">
        <v>0</v>
      </c>
      <c r="H15" s="65"/>
      <c r="J15">
        <f>+F15*G15</f>
        <v>0</v>
      </c>
      <c r="L15" s="185">
        <f>ROUND($L$114*$K$114,1)</f>
        <v>0</v>
      </c>
      <c r="M15" s="186"/>
      <c r="N15" s="186"/>
      <c r="O15" s="187"/>
    </row>
    <row r="16" spans="1:28" ht="24" customHeight="1" x14ac:dyDescent="0.2">
      <c r="A16" s="27"/>
      <c r="C16" s="72"/>
      <c r="D16" s="53" t="s">
        <v>249</v>
      </c>
      <c r="E16" s="58"/>
      <c r="F16" s="52"/>
      <c r="G16" s="63"/>
      <c r="H16" s="63"/>
      <c r="L16" s="52"/>
      <c r="M16" s="52"/>
      <c r="N16" s="52"/>
      <c r="O16" s="52"/>
    </row>
    <row r="17" spans="1:35" x14ac:dyDescent="0.2">
      <c r="A17" s="27">
        <v>3</v>
      </c>
      <c r="C17" s="73" t="s">
        <v>250</v>
      </c>
      <c r="D17" s="54" t="s">
        <v>251</v>
      </c>
      <c r="E17" s="57" t="s">
        <v>164</v>
      </c>
      <c r="F17" s="56">
        <v>1</v>
      </c>
      <c r="G17" s="64">
        <v>0</v>
      </c>
      <c r="H17" s="65"/>
      <c r="J17">
        <f>+F17*G17</f>
        <v>0</v>
      </c>
      <c r="L17" s="185">
        <f>ROUND($L$116*$K$116,1)</f>
        <v>0</v>
      </c>
      <c r="M17" s="186"/>
      <c r="N17" s="186"/>
      <c r="O17" s="187"/>
    </row>
    <row r="18" spans="1:35" ht="25.15" customHeight="1" x14ac:dyDescent="0.2">
      <c r="A18" s="27"/>
      <c r="C18" s="72"/>
      <c r="D18" s="53" t="s">
        <v>252</v>
      </c>
      <c r="E18" s="58"/>
      <c r="F18" s="52"/>
      <c r="G18" s="63"/>
      <c r="H18" s="63"/>
      <c r="L18" s="52"/>
      <c r="M18" s="52"/>
      <c r="N18" s="52"/>
      <c r="O18" s="52"/>
    </row>
    <row r="19" spans="1:35" x14ac:dyDescent="0.2">
      <c r="A19" s="27">
        <v>4</v>
      </c>
      <c r="C19" s="73" t="s">
        <v>253</v>
      </c>
      <c r="D19" s="54" t="s">
        <v>254</v>
      </c>
      <c r="E19" s="57" t="s">
        <v>164</v>
      </c>
      <c r="F19" s="56">
        <v>1</v>
      </c>
      <c r="G19" s="64">
        <v>0</v>
      </c>
      <c r="H19" s="65"/>
      <c r="J19">
        <f>+F19*G19</f>
        <v>0</v>
      </c>
      <c r="L19" s="185">
        <f>ROUND($L$118*$K$118,1)</f>
        <v>0</v>
      </c>
      <c r="M19" s="186"/>
      <c r="N19" s="186"/>
      <c r="O19" s="187"/>
    </row>
    <row r="20" spans="1:35" ht="66.599999999999994" customHeight="1" x14ac:dyDescent="0.2">
      <c r="A20" s="27"/>
      <c r="C20" s="72"/>
      <c r="D20" s="53" t="s">
        <v>255</v>
      </c>
      <c r="E20" s="58"/>
      <c r="F20" s="52"/>
      <c r="G20" s="63"/>
      <c r="H20" s="63"/>
      <c r="L20" s="52"/>
      <c r="M20" s="52"/>
      <c r="N20" s="52"/>
      <c r="O20" s="52"/>
    </row>
    <row r="21" spans="1:35" x14ac:dyDescent="0.2">
      <c r="A21" s="27">
        <v>5</v>
      </c>
      <c r="C21" s="73" t="s">
        <v>256</v>
      </c>
      <c r="D21" s="54" t="s">
        <v>257</v>
      </c>
      <c r="E21" s="57" t="s">
        <v>164</v>
      </c>
      <c r="F21" s="56">
        <v>1</v>
      </c>
      <c r="G21" s="64">
        <v>0</v>
      </c>
      <c r="H21" s="65"/>
      <c r="J21">
        <f>+F21*G21</f>
        <v>0</v>
      </c>
      <c r="L21" s="185">
        <f>ROUND($L$120*$K$120,1)</f>
        <v>0</v>
      </c>
      <c r="M21" s="186"/>
      <c r="N21" s="186"/>
      <c r="O21" s="187"/>
    </row>
    <row r="22" spans="1:35" ht="15.6" customHeight="1" x14ac:dyDescent="0.2">
      <c r="A22" s="27"/>
      <c r="C22" s="72"/>
      <c r="D22" s="53" t="s">
        <v>258</v>
      </c>
      <c r="E22" s="58"/>
      <c r="F22" s="52"/>
      <c r="G22" s="63"/>
      <c r="H22" s="63"/>
      <c r="L22" s="52"/>
      <c r="M22" s="52"/>
      <c r="N22" s="52"/>
      <c r="O22" s="52"/>
    </row>
    <row r="23" spans="1:35" x14ac:dyDescent="0.2">
      <c r="A23" s="27">
        <v>6</v>
      </c>
      <c r="C23" s="73" t="s">
        <v>259</v>
      </c>
      <c r="D23" s="68" t="s">
        <v>297</v>
      </c>
      <c r="E23" s="57" t="s">
        <v>164</v>
      </c>
      <c r="F23" s="56">
        <v>1</v>
      </c>
      <c r="G23" s="64">
        <v>0</v>
      </c>
      <c r="H23" s="65"/>
      <c r="J23">
        <f>+F23*G23</f>
        <v>0</v>
      </c>
      <c r="L23" s="185">
        <f>ROUND($L$122*$K$122,1)</f>
        <v>0</v>
      </c>
      <c r="M23" s="186"/>
      <c r="N23" s="186"/>
      <c r="O23" s="187"/>
    </row>
    <row r="24" spans="1:35" x14ac:dyDescent="0.2">
      <c r="A24" s="27">
        <v>7</v>
      </c>
      <c r="C24" s="73" t="s">
        <v>260</v>
      </c>
      <c r="D24" s="54" t="s">
        <v>261</v>
      </c>
      <c r="E24" s="57" t="s">
        <v>164</v>
      </c>
      <c r="F24" s="56">
        <v>1</v>
      </c>
      <c r="G24" s="64">
        <v>0</v>
      </c>
      <c r="H24" s="65"/>
      <c r="J24">
        <f>+F24*G24</f>
        <v>0</v>
      </c>
      <c r="L24" s="185">
        <f>ROUND($L$123*$K$123,1)</f>
        <v>0</v>
      </c>
      <c r="M24" s="186"/>
      <c r="N24" s="186"/>
      <c r="O24" s="187"/>
    </row>
    <row r="25" spans="1:35" ht="10.9" customHeight="1" x14ac:dyDescent="0.2">
      <c r="A25" s="27"/>
      <c r="C25" s="72"/>
      <c r="D25" s="53" t="s">
        <v>262</v>
      </c>
      <c r="E25" s="58"/>
      <c r="F25" s="52"/>
      <c r="G25" s="63"/>
      <c r="H25" s="63"/>
      <c r="L25" s="52"/>
      <c r="M25" s="52"/>
      <c r="N25" s="52"/>
      <c r="O25" s="52"/>
    </row>
    <row r="26" spans="1:35" x14ac:dyDescent="0.2">
      <c r="A26" s="27">
        <v>8</v>
      </c>
      <c r="C26" s="73" t="s">
        <v>263</v>
      </c>
      <c r="D26" s="54" t="s">
        <v>264</v>
      </c>
      <c r="E26" s="57" t="s">
        <v>164</v>
      </c>
      <c r="F26" s="56">
        <v>1</v>
      </c>
      <c r="G26" s="64">
        <v>0</v>
      </c>
      <c r="H26" s="65"/>
      <c r="J26">
        <f>+F26*G26</f>
        <v>0</v>
      </c>
      <c r="L26" s="185">
        <f>ROUND($L$128*$K$128,1)</f>
        <v>0</v>
      </c>
      <c r="M26" s="186"/>
      <c r="N26" s="186"/>
      <c r="O26" s="187"/>
    </row>
    <row r="27" spans="1:35" ht="27" customHeight="1" x14ac:dyDescent="0.2">
      <c r="A27" s="27"/>
      <c r="C27" s="72"/>
      <c r="D27" s="53" t="s">
        <v>265</v>
      </c>
      <c r="E27" s="58"/>
      <c r="F27" s="52"/>
      <c r="G27" s="63"/>
      <c r="H27" s="63"/>
      <c r="L27" s="52"/>
      <c r="M27" s="52"/>
      <c r="N27" s="52"/>
      <c r="O27" s="52"/>
    </row>
    <row r="28" spans="1:35" x14ac:dyDescent="0.2">
      <c r="A28" s="27">
        <v>9</v>
      </c>
      <c r="C28" s="73" t="s">
        <v>266</v>
      </c>
      <c r="D28" s="54" t="s">
        <v>210</v>
      </c>
      <c r="E28" s="57" t="s">
        <v>164</v>
      </c>
      <c r="F28" s="56">
        <v>1</v>
      </c>
      <c r="G28" s="64">
        <v>0</v>
      </c>
      <c r="H28" s="65"/>
      <c r="J28">
        <f>+F28*G28</f>
        <v>0</v>
      </c>
      <c r="L28" s="185">
        <f>ROUND($L$130*$K$130,1)</f>
        <v>0</v>
      </c>
      <c r="M28" s="186"/>
      <c r="N28" s="186"/>
      <c r="O28" s="187"/>
    </row>
    <row r="29" spans="1:35" ht="10.9" customHeight="1" x14ac:dyDescent="0.2">
      <c r="C29" s="72"/>
      <c r="D29" s="55" t="s">
        <v>267</v>
      </c>
      <c r="E29" s="58"/>
      <c r="F29" s="52"/>
      <c r="G29" s="63"/>
      <c r="H29" s="63"/>
      <c r="L29" s="52"/>
      <c r="M29" s="52"/>
      <c r="N29" s="52"/>
      <c r="O29" s="52"/>
    </row>
    <row r="30" spans="1:35" x14ac:dyDescent="0.2">
      <c r="A30" s="4"/>
      <c r="B30" s="4"/>
      <c r="C30" s="4"/>
      <c r="D30" s="46"/>
      <c r="E30" s="37"/>
      <c r="F30" s="4"/>
      <c r="G30" s="39" t="s">
        <v>170</v>
      </c>
      <c r="H30" s="39"/>
      <c r="I30" s="184">
        <f>J12</f>
        <v>0</v>
      </c>
      <c r="J30" s="184"/>
      <c r="AI30" s="67">
        <f>I30</f>
        <v>0</v>
      </c>
    </row>
  </sheetData>
  <sheetProtection algorithmName="SHA-512" hashValue="hY2bWqys50SzK8kjorBjG0+RjHSztbLyKvC7mloQZvipB0OmrIHidG2A3jo1lDBePiQZncPHvbSlBSD7TDZc3g==" saltValue="pMM9HQSU9q/BrrXfiIjm2g==" spinCount="100000" sheet="1" objects="1" scenarios="1"/>
  <protectedRanges>
    <protectedRange sqref="G13:G28" name="Oblast1"/>
  </protectedRanges>
  <mergeCells count="37">
    <mergeCell ref="L28:O28"/>
    <mergeCell ref="L26:O26"/>
    <mergeCell ref="L23:O23"/>
    <mergeCell ref="L24:O24"/>
    <mergeCell ref="L19:O19"/>
    <mergeCell ref="L15:O15"/>
    <mergeCell ref="L17:O17"/>
    <mergeCell ref="D12:G12"/>
    <mergeCell ref="L21:O21"/>
    <mergeCell ref="L13:O13"/>
    <mergeCell ref="G6:H7"/>
    <mergeCell ref="E8:F9"/>
    <mergeCell ref="I6:I7"/>
    <mergeCell ref="E6:F7"/>
    <mergeCell ref="D4:D5"/>
    <mergeCell ref="D6:D7"/>
    <mergeCell ref="D8:D9"/>
    <mergeCell ref="I4:I5"/>
    <mergeCell ref="G4:H5"/>
    <mergeCell ref="G8:H9"/>
    <mergeCell ref="I8:I9"/>
    <mergeCell ref="I30:J30"/>
    <mergeCell ref="J2:J3"/>
    <mergeCell ref="H10:J10"/>
    <mergeCell ref="J8:J9"/>
    <mergeCell ref="A1:J1"/>
    <mergeCell ref="A2:C3"/>
    <mergeCell ref="A4:C5"/>
    <mergeCell ref="A6:C7"/>
    <mergeCell ref="A8:C9"/>
    <mergeCell ref="G2:H3"/>
    <mergeCell ref="D2:D3"/>
    <mergeCell ref="J4:J5"/>
    <mergeCell ref="J6:J7"/>
    <mergeCell ref="E4:F5"/>
    <mergeCell ref="E2:F3"/>
    <mergeCell ref="I2:I3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 SO1 </vt:lpstr>
      <vt:lpstr>Stavební rozpočet SO1.1</vt:lpstr>
      <vt:lpstr>Vedlejší náklady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</dc:creator>
  <cp:lastModifiedBy>Martin Hlaváček</cp:lastModifiedBy>
  <cp:lastPrinted>2018-06-06T09:33:19Z</cp:lastPrinted>
  <dcterms:created xsi:type="dcterms:W3CDTF">2015-04-22T18:04:53Z</dcterms:created>
  <dcterms:modified xsi:type="dcterms:W3CDTF">2023-10-11T12:30:32Z</dcterms:modified>
</cp:coreProperties>
</file>