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<sst xmlns="http://schemas.openxmlformats.org/spreadsheetml/2006/main" count="540" uniqueCount="347">
  <si>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</si>
  <si>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</si>
  <si>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</si>
  <si>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</si>
  <si>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</si>
  <si>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</si>
  <si>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</si>
  <si>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</si>
  <si>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</si>
  <si>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</si>
  <si>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</si>
  <si>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</si>
  <si>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</si>
  <si>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</si>
  <si>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</si>
  <si>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</si>
  <si>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</si>
  <si>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</si>
  <si>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</si>
  <si>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</si>
  <si>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</si>
  <si>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</si>
  <si>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</si>
  <si>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</si>
  <si>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</si>
  <si>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</si>
  <si>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</si>
  <si>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</si>
  <si>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</si>
  <si>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</si>
  <si>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</si>
  <si>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</si>
  <si>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</si>
  <si>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</si>
  <si>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</si>
  <si>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</si>
  <si>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</si>
  <si>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</si>
  <si>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</si>
  <si>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</si>
  <si>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</si>
  <si>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</si>
  <si>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</si>
  <si>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</si>
  <si>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</si>
  <si>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</si>
  <si>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</si>
  <si>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</si>
  <si>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</si>
  <si>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</si>
  <si>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</si>
  <si>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</si>
  <si>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</si>
  <si>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</si>
  <si>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</si>
  <si>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</si>
  <si>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</si>
  <si>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</si>
  <si>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</si>
  <si>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</si>
  <si>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</si>
  <si>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</si>
  <si>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</si>
  <si>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</si>
  <si>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</si>
  <si>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</si>
  <si>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</si>
  <si>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</si>
  <si>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</si>
  <si>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</si>
  <si>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</si>
  <si>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</si>
  <si>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</si>
  <si>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</si>
  <si>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</si>
  <si>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</si>
  <si>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</si>
  <si>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</si>
  <si>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</si>
  <si>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</si>
  <si>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</si>
  <si>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</si>
  <si>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Poznámka:</t>
  </si>
  <si>
    <t>Objekt</t>
  </si>
  <si>
    <t>Kód</t>
  </si>
  <si>
    <t>342255024R00</t>
  </si>
  <si>
    <t>342255028R00</t>
  </si>
  <si>
    <t>611421331R00</t>
  </si>
  <si>
    <t>612403382R00</t>
  </si>
  <si>
    <t>612403384R00</t>
  </si>
  <si>
    <t>612403388R00</t>
  </si>
  <si>
    <t>612421615R00</t>
  </si>
  <si>
    <t>612421637R00</t>
  </si>
  <si>
    <t>612481211RT2</t>
  </si>
  <si>
    <t>631312611R00</t>
  </si>
  <si>
    <t>631362021R00</t>
  </si>
  <si>
    <t>631591115R00</t>
  </si>
  <si>
    <t>553310560</t>
  </si>
  <si>
    <t>553310592</t>
  </si>
  <si>
    <t>61164080</t>
  </si>
  <si>
    <t>61164084</t>
  </si>
  <si>
    <t>642942111R00</t>
  </si>
  <si>
    <t>721</t>
  </si>
  <si>
    <t>721000001VD</t>
  </si>
  <si>
    <t>721176103R00</t>
  </si>
  <si>
    <t>721176213R00</t>
  </si>
  <si>
    <t>721176224R00</t>
  </si>
  <si>
    <t>721194105R00</t>
  </si>
  <si>
    <t>721194109R00</t>
  </si>
  <si>
    <t>722</t>
  </si>
  <si>
    <t>722172311R00</t>
  </si>
  <si>
    <t>722172331R00</t>
  </si>
  <si>
    <t>722172962R00</t>
  </si>
  <si>
    <t>725</t>
  </si>
  <si>
    <t>725013165R00</t>
  </si>
  <si>
    <t>725016105R00</t>
  </si>
  <si>
    <t>725017161R00</t>
  </si>
  <si>
    <t>725110811R00</t>
  </si>
  <si>
    <t>725122817R00</t>
  </si>
  <si>
    <t>725210821R00</t>
  </si>
  <si>
    <t>725810402R00</t>
  </si>
  <si>
    <t>725819402R00</t>
  </si>
  <si>
    <t>725820801R00</t>
  </si>
  <si>
    <t>725823111R00</t>
  </si>
  <si>
    <t>725851001R00</t>
  </si>
  <si>
    <t>725860168R00</t>
  </si>
  <si>
    <t>725991812R00</t>
  </si>
  <si>
    <t>740000001VD</t>
  </si>
  <si>
    <t>740000002VD</t>
  </si>
  <si>
    <t>766</t>
  </si>
  <si>
    <t>54914620</t>
  </si>
  <si>
    <t>54914621</t>
  </si>
  <si>
    <t>766661112R00</t>
  </si>
  <si>
    <t>766669117R00</t>
  </si>
  <si>
    <t>766670021R00</t>
  </si>
  <si>
    <t>771</t>
  </si>
  <si>
    <t>597642030</t>
  </si>
  <si>
    <t>771101115R00</t>
  </si>
  <si>
    <t>771101210R00</t>
  </si>
  <si>
    <t>771475014R00</t>
  </si>
  <si>
    <t>771479001R00</t>
  </si>
  <si>
    <t>771575109R00</t>
  </si>
  <si>
    <t>771578011R00</t>
  </si>
  <si>
    <t>781</t>
  </si>
  <si>
    <t>597813667</t>
  </si>
  <si>
    <t>781415016R00</t>
  </si>
  <si>
    <t>784</t>
  </si>
  <si>
    <t>784191101R00</t>
  </si>
  <si>
    <t>784195212R00</t>
  </si>
  <si>
    <t>96</t>
  </si>
  <si>
    <t>962031132R00</t>
  </si>
  <si>
    <t>962031133R00</t>
  </si>
  <si>
    <t>965042141R00</t>
  </si>
  <si>
    <t>965081713R00</t>
  </si>
  <si>
    <t>965082933R00</t>
  </si>
  <si>
    <t>968061125R00</t>
  </si>
  <si>
    <t>968072455R00</t>
  </si>
  <si>
    <t>97</t>
  </si>
  <si>
    <t>978011141R00</t>
  </si>
  <si>
    <t>978013191R00</t>
  </si>
  <si>
    <t>978059531R00</t>
  </si>
  <si>
    <t>S</t>
  </si>
  <si>
    <t>979011111R00</t>
  </si>
  <si>
    <t>979011121R00</t>
  </si>
  <si>
    <t>979081111R00</t>
  </si>
  <si>
    <t>979081121R00</t>
  </si>
  <si>
    <t>979082111R00</t>
  </si>
  <si>
    <t>979082121R00</t>
  </si>
  <si>
    <t>979087212R00</t>
  </si>
  <si>
    <t>979990001R00</t>
  </si>
  <si>
    <t>Stavební úpravy wc ve 2. NP a 3. NP</t>
  </si>
  <si>
    <t>ZŠ Nádražní</t>
  </si>
  <si>
    <t>Česká Třebová</t>
  </si>
  <si>
    <t>Zkrácený popis</t>
  </si>
  <si>
    <t>Rozměry</t>
  </si>
  <si>
    <t>Stěny a příčky</t>
  </si>
  <si>
    <t>Příčky z desek Ytong tl. 10 cm</t>
  </si>
  <si>
    <t>Příčky z desek Ytong tl. 15 cm</t>
  </si>
  <si>
    <t>Úprava povrchů vnitřní</t>
  </si>
  <si>
    <t>Oprava váp.omítek stropů do 30% plochy - štukových</t>
  </si>
  <si>
    <t>Hrubá výplň rýh ve stěnách do 5x5 cm maltou ze SMS</t>
  </si>
  <si>
    <t>Hrubá výplň rýh ve stěnách do 7x7 cm maltou ze SMS</t>
  </si>
  <si>
    <t>Hrubá výplň rýh ve stěnách do 15x15cm maltou z SMS</t>
  </si>
  <si>
    <t>Omítka vnitřní zdiva, MVC, hrubá zatřená</t>
  </si>
  <si>
    <t>Omítka vnitřní zdiva, MVC, štuková</t>
  </si>
  <si>
    <t>Montáž výztužné sítě (perlinky) do stěrky-stěny</t>
  </si>
  <si>
    <t>Podlahy a podlahové konstrukce</t>
  </si>
  <si>
    <t>Mazanina betonová tl. 5 - 8 cm C 16/20</t>
  </si>
  <si>
    <t>Výztuž mazanin svařovanou sítí z drátů Kari</t>
  </si>
  <si>
    <t>Násyp pod podlahy z keramzitu</t>
  </si>
  <si>
    <t>Výplně otvorů</t>
  </si>
  <si>
    <t>Zárubeň ocelová 100 pozinkovaná, 600x1970 mm</t>
  </si>
  <si>
    <t>Zárubeň ocelová 150 pozinkovaná, 800x1970 mm</t>
  </si>
  <si>
    <t>Dveře vnitřní plné 600 x 1970 mm pozinkované</t>
  </si>
  <si>
    <t>Dveře vnitřní plné 800 x 1970 mm pozinkované</t>
  </si>
  <si>
    <t>Osazení zárubní dveřních ocelových, pl. do 2,5 m2</t>
  </si>
  <si>
    <t>Vnitřní kanalizace</t>
  </si>
  <si>
    <t>Rozvody vody a kanalizace neuvedené položky</t>
  </si>
  <si>
    <t>Potrubí HT připojovací DN 50 x 1,8 mm</t>
  </si>
  <si>
    <t>Potrubí KG odpadní svislé DN 125 x 3,2 mm</t>
  </si>
  <si>
    <t>Potrubí KG svodné (ležaté) v podlaze DN 150 x 4,0 mm</t>
  </si>
  <si>
    <t>Vyvedení odpadních výpustek D 50 x 1,8</t>
  </si>
  <si>
    <t>Vyvedení odpadních výpustek D 110 x 2,3</t>
  </si>
  <si>
    <t>Vnitřní vodovod</t>
  </si>
  <si>
    <t>Potrubí z PPR Instaplast, studená, D 20/2,8 mm</t>
  </si>
  <si>
    <t>Potrubí z PPR Instaplast, teplá, D 20/3,4 mm</t>
  </si>
  <si>
    <t>Vsazení odbočky do plast. potrubí polyf. D 20 mm</t>
  </si>
  <si>
    <t>Zařizovací předměty</t>
  </si>
  <si>
    <t>Klozet kombi LYRA Plus,nádrž s armat. odpad.svislý</t>
  </si>
  <si>
    <t>Pisoár ovládání automatické, bílý</t>
  </si>
  <si>
    <t>Umyvadlo na šrouby LYRA Plus , 50 x 41 cm, bílé</t>
  </si>
  <si>
    <t>Demontáž klozetů splachovacích</t>
  </si>
  <si>
    <t>Demontáž pisoárů bez nádrže</t>
  </si>
  <si>
    <t>Demontáž umyvadel bez výtokových armatur</t>
  </si>
  <si>
    <t>Ventil rohový bez přípoj. trubičky TE 66 G 1/2</t>
  </si>
  <si>
    <t>Montáž ventilu rohového bez trubičky G 1/2</t>
  </si>
  <si>
    <t>Demontáž baterie nástěnné do G 3/4</t>
  </si>
  <si>
    <t>Baterie umyvadlová stoján. ruční, bez otvír.odpadu</t>
  </si>
  <si>
    <t>Odtoková souprava s ventilem HL24 DN 40</t>
  </si>
  <si>
    <t>Zápachová uzávěrka pro pisoáry HL430, DN 40,50</t>
  </si>
  <si>
    <t>Demontáž konzol zdvojených</t>
  </si>
  <si>
    <t>Elektromontážní práce (silnoproud)</t>
  </si>
  <si>
    <t>Výměna elektroinstalace wc chlapci vč. napojení pisoárů</t>
  </si>
  <si>
    <t>Výměna elektroinstalace wc dívky</t>
  </si>
  <si>
    <t>Konstrukce truhlářské</t>
  </si>
  <si>
    <t>Dveřní kování klika/klika, nerez, wc</t>
  </si>
  <si>
    <t>Dveřní kování klika/klika, klíč FAB</t>
  </si>
  <si>
    <t>Montáž dveří do zárubně,otevíravých 1kř.do 0,8 m</t>
  </si>
  <si>
    <t>D+M samozavírače na ocelovou zárubeň</t>
  </si>
  <si>
    <t>Montáž kliky a štítku</t>
  </si>
  <si>
    <t>Podlahy z dlaždic</t>
  </si>
  <si>
    <t>Dlažba Taurus Granit matná 300x300x9 mm</t>
  </si>
  <si>
    <t>Vyrovnání podkladů samonivel. hmotou tl. do 10 mm</t>
  </si>
  <si>
    <t>Penetrace podkladu pod dlažby</t>
  </si>
  <si>
    <t>Obklad soklíků keram.rovných, tmel,výška 10 cm</t>
  </si>
  <si>
    <t>Řezání dlaždic keramických pro soklíky</t>
  </si>
  <si>
    <t>Montáž podlah keram.,hladké, tmel, 30x30 cm</t>
  </si>
  <si>
    <t>Spára podlaha - stěna, silikonem</t>
  </si>
  <si>
    <t>Obklady (keramické)</t>
  </si>
  <si>
    <t>Obkládačka Color One 19,8x24,8 dle výběru</t>
  </si>
  <si>
    <t>Montáž obkladů stěn, porovin.,tmel, nad 20x25 cm</t>
  </si>
  <si>
    <t>Malby</t>
  </si>
  <si>
    <t>Penetrace podkladu univerzální Primalex 1x</t>
  </si>
  <si>
    <t>Malba tekutá Primalex Plus, bílá, 2 x</t>
  </si>
  <si>
    <t>Bourání konstrukcí</t>
  </si>
  <si>
    <t>Bourání příček cihelných tl. 10 cm</t>
  </si>
  <si>
    <t>Bourání příček cihelných tl. 15 cm</t>
  </si>
  <si>
    <t>Bourání mazanin betonových tl. 10 cm, nad 4 m2</t>
  </si>
  <si>
    <t>Bourání dlaždic keramických tl. 1 cm, nad 1 m2</t>
  </si>
  <si>
    <t>Odstranění násypu tl. do 20 cm, plocha nad 2 m2</t>
  </si>
  <si>
    <t>Vyvěšení dřevěných dveřních křídel pl. do 2 m2</t>
  </si>
  <si>
    <t>Vybourání kovových dveřních zárubní pl. do 2 m2</t>
  </si>
  <si>
    <t>Prorážení otvorů a ostatní bourací práce</t>
  </si>
  <si>
    <t>Otlučení omítek vnitřních vápenných stropů do 30 %</t>
  </si>
  <si>
    <t>Otlučení omítek vnitřních stěn v rozsahu do 100 %</t>
  </si>
  <si>
    <t>Odsekání vnitřních obkladů stěn nad 2 m2</t>
  </si>
  <si>
    <t>Přesuny sutí</t>
  </si>
  <si>
    <t>Svislá doprava suti a vybour. hmot za 2.NP a 1.PP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</si>
  <si>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</si>
  <si>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</si>
  <si>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</si>
  <si>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</si>
  <si>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</si>
  <si>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</si>
  <si>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</si>
  <si>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</si>
  <si>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</si>
  <si>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</si>
  <si>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</si>
  <si>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</si>
  <si>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</si>
  <si>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</si>
  <si>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</si>
  <si>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t</t>
  </si>
  <si>
    <t>kus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</si>
  <si>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</si>
  <si>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</si>
  <si>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</si>
  <si>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</si>
  <si>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</si>
  <si>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</si>
  <si>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</si>
  <si>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</si>
  <si>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</si>
  <si>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</si>
  <si>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</si>
  <si>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</si>
  <si>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Martin Hlaváček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</si>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</sst>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15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9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0" fillId="2" borderId="24" xfId="0" applyNumberFormat="1" applyFont="1" applyFill="1" applyBorder="1" applyAlignment="1" applyProtection="1">
      <alignment horizontal="righ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0" fillId="2" borderId="23" xfId="0" applyNumberFormat="1" applyFont="1" applyFill="1" applyBorder="1" applyAlignment="1" applyProtection="1">
      <alignment horizontal="left" vertical="center"/>
      <protection/>
    </xf>
    <xf numFmtId="0" fontId="10" fillId="2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workbookViewId="0" topLeftCell="A73">
      <selection activeCell="F97" sqref="F9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7.421875" style="0" customWidth="1"/>
    <col min="5" max="5" width="6.42187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36" width="12.140625" style="0" hidden="1" customWidth="1"/>
  </cols>
  <sheetData>
    <row r="1" spans="1:12" ht="21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2.75">
      <c r="A2" s="72" t="s">
        <v>1</v>
      </c>
      <c r="B2" s="73"/>
      <c r="C2" s="73"/>
      <c r="D2" s="74" t="s">
        <v>170</v>
      </c>
      <c r="E2" s="76" t="s">
        <v>265</v>
      </c>
      <c r="F2" s="73"/>
      <c r="G2" s="76"/>
      <c r="H2" s="73"/>
      <c r="I2" s="77" t="s">
        <v>282</v>
      </c>
      <c r="J2" s="77"/>
      <c r="K2" s="73"/>
      <c r="L2" s="73"/>
      <c r="M2" s="29"/>
    </row>
    <row r="3" spans="1:13" ht="12.75">
      <c r="A3" s="69"/>
      <c r="B3" s="55"/>
      <c r="C3" s="55"/>
      <c r="D3" s="75"/>
      <c r="E3" s="55"/>
      <c r="F3" s="55"/>
      <c r="G3" s="55"/>
      <c r="H3" s="55"/>
      <c r="I3" s="55"/>
      <c r="J3" s="55"/>
      <c r="K3" s="55"/>
      <c r="L3" s="55"/>
      <c r="M3" s="29"/>
    </row>
    <row r="4" spans="1:13" ht="12.75">
      <c r="A4" s="65" t="s">
        <v>2</v>
      </c>
      <c r="B4" s="55"/>
      <c r="C4" s="55"/>
      <c r="D4" s="54" t="s">
        <v>171</v>
      </c>
      <c r="E4" s="67" t="s">
        <v>266</v>
      </c>
      <c r="F4" s="55"/>
      <c r="G4" s="67" t="s">
        <v>6</v>
      </c>
      <c r="H4" s="55"/>
      <c r="I4" s="54" t="s">
        <v>283</v>
      </c>
      <c r="J4" s="54"/>
      <c r="K4" s="55"/>
      <c r="L4" s="55"/>
      <c r="M4" s="29"/>
    </row>
    <row r="5" spans="1:13" ht="12.75">
      <c r="A5" s="6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29"/>
    </row>
    <row r="6" spans="1:13" ht="12.75">
      <c r="A6" s="65" t="s">
        <v>3</v>
      </c>
      <c r="B6" s="55"/>
      <c r="C6" s="55"/>
      <c r="D6" s="54" t="s">
        <v>172</v>
      </c>
      <c r="E6" s="67" t="s">
        <v>267</v>
      </c>
      <c r="F6" s="55"/>
      <c r="G6" s="55"/>
      <c r="H6" s="55"/>
      <c r="I6" s="54" t="s">
        <v>284</v>
      </c>
      <c r="J6" s="54"/>
      <c r="K6" s="55"/>
      <c r="L6" s="55"/>
      <c r="M6" s="29"/>
    </row>
    <row r="7" spans="1:13" ht="12.75">
      <c r="A7" s="6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29"/>
    </row>
    <row r="8" spans="1:13" ht="12.75">
      <c r="A8" s="65" t="s">
        <v>4</v>
      </c>
      <c r="B8" s="55"/>
      <c r="C8" s="55"/>
      <c r="D8" s="54"/>
      <c r="E8" s="67" t="s">
        <v>268</v>
      </c>
      <c r="F8" s="55"/>
      <c r="G8" s="68">
        <v>42158</v>
      </c>
      <c r="H8" s="55"/>
      <c r="I8" s="54" t="s">
        <v>285</v>
      </c>
      <c r="J8" s="54" t="s">
        <v>287</v>
      </c>
      <c r="K8" s="55"/>
      <c r="L8" s="55"/>
      <c r="M8" s="29"/>
    </row>
    <row r="9" spans="1:13" ht="12.75">
      <c r="A9" s="66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29"/>
    </row>
    <row r="10" spans="1:13" ht="12.75">
      <c r="A10" s="2" t="s">
        <v>5</v>
      </c>
      <c r="B10" s="11" t="s">
        <v>83</v>
      </c>
      <c r="C10" s="11" t="s">
        <v>84</v>
      </c>
      <c r="D10" s="11" t="s">
        <v>173</v>
      </c>
      <c r="E10" s="11" t="s">
        <v>269</v>
      </c>
      <c r="F10" s="16" t="s">
        <v>276</v>
      </c>
      <c r="G10" s="20" t="s">
        <v>277</v>
      </c>
      <c r="H10" s="62" t="s">
        <v>279</v>
      </c>
      <c r="I10" s="63"/>
      <c r="J10" s="64"/>
      <c r="K10" s="62" t="s">
        <v>289</v>
      </c>
      <c r="L10" s="64"/>
      <c r="M10" s="30"/>
    </row>
    <row r="11" spans="1:23" ht="12.75">
      <c r="A11" s="3" t="s">
        <v>6</v>
      </c>
      <c r="B11" s="12" t="s">
        <v>6</v>
      </c>
      <c r="C11" s="12" t="s">
        <v>6</v>
      </c>
      <c r="D11" s="15" t="s">
        <v>174</v>
      </c>
      <c r="E11" s="12" t="s">
        <v>6</v>
      </c>
      <c r="F11" s="12" t="s">
        <v>6</v>
      </c>
      <c r="G11" s="21" t="s">
        <v>278</v>
      </c>
      <c r="H11" s="22" t="s">
        <v>280</v>
      </c>
      <c r="I11" s="23" t="s">
        <v>286</v>
      </c>
      <c r="J11" s="24" t="s">
        <v>288</v>
      </c>
      <c r="K11" s="22" t="s">
        <v>277</v>
      </c>
      <c r="L11" s="24" t="s">
        <v>288</v>
      </c>
      <c r="M11" s="30"/>
      <c r="O11" s="26" t="s">
        <v>291</v>
      </c>
      <c r="P11" s="26" t="s">
        <v>292</v>
      </c>
      <c r="Q11" s="26" t="s">
        <v>296</v>
      </c>
      <c r="R11" s="26" t="s">
        <v>297</v>
      </c>
      <c r="S11" s="26" t="s">
        <v>298</v>
      </c>
      <c r="T11" s="26" t="s">
        <v>299</v>
      </c>
      <c r="U11" s="26" t="s">
        <v>300</v>
      </c>
      <c r="V11" s="26" t="s">
        <v>301</v>
      </c>
      <c r="W11" s="26" t="s">
        <v>302</v>
      </c>
    </row>
    <row r="12" spans="1:36" ht="12.75">
      <c r="A12" s="4"/>
      <c r="B12" s="13"/>
      <c r="C12" s="13" t="s">
        <v>40</v>
      </c>
      <c r="D12" s="59" t="s">
        <v>175</v>
      </c>
      <c r="E12" s="60"/>
      <c r="F12" s="60"/>
      <c r="G12" s="60"/>
      <c r="H12" s="32">
        <f>SUM(H13:H14)</f>
        <v>0</v>
      </c>
      <c r="I12" s="32">
        <f>SUM(I13:I14)</f>
        <v>0</v>
      </c>
      <c r="J12" s="32">
        <f>H12+I12</f>
        <v>0</v>
      </c>
      <c r="K12" s="25"/>
      <c r="L12" s="32">
        <f>SUM(L13:L14)</f>
        <v>8.73701</v>
      </c>
      <c r="O12" s="33">
        <f>IF(P12="PR",J12,SUM(N13:N14))</f>
        <v>0</v>
      </c>
      <c r="P12" s="26" t="s">
        <v>293</v>
      </c>
      <c r="Q12" s="33">
        <f>IF(P12="HS",H12,0)</f>
        <v>0</v>
      </c>
      <c r="R12" s="33">
        <f>IF(P12="HS",I12-O12,0)</f>
        <v>0</v>
      </c>
      <c r="S12" s="33">
        <f>IF(P12="PS",H12,0)</f>
        <v>0</v>
      </c>
      <c r="T12" s="33">
        <f>IF(P12="PS",I12-O12,0)</f>
        <v>0</v>
      </c>
      <c r="U12" s="33">
        <f>IF(P12="MP",H12,0)</f>
        <v>0</v>
      </c>
      <c r="V12" s="33">
        <f>IF(P12="MP",I12-O12,0)</f>
        <v>0</v>
      </c>
      <c r="W12" s="33">
        <f>IF(P12="OM",H12,0)</f>
        <v>0</v>
      </c>
      <c r="X12" s="26"/>
      <c r="AH12" s="33">
        <f>SUM(Y13:Y14)</f>
        <v>0</v>
      </c>
      <c r="AI12" s="33">
        <f>SUM(Z13:Z14)</f>
        <v>0</v>
      </c>
      <c r="AJ12" s="33">
        <f>SUM(AA13:AA14)</f>
        <v>0</v>
      </c>
    </row>
    <row r="13" spans="1:31" ht="12.75">
      <c r="A13" s="5" t="s">
        <v>7</v>
      </c>
      <c r="B13" s="5"/>
      <c r="C13" s="5" t="s">
        <v>85</v>
      </c>
      <c r="D13" s="5" t="s">
        <v>176</v>
      </c>
      <c r="E13" s="5" t="s">
        <v>270</v>
      </c>
      <c r="F13" s="17">
        <v>66.7</v>
      </c>
      <c r="G13" s="17"/>
      <c r="H13" s="17">
        <f>ROUND(F13*AD13,2)</f>
        <v>0</v>
      </c>
      <c r="I13" s="17">
        <f>J13-H13</f>
        <v>0</v>
      </c>
      <c r="J13" s="17">
        <f>ROUND(F13*G13,2)</f>
        <v>0</v>
      </c>
      <c r="K13" s="17">
        <v>0.0706</v>
      </c>
      <c r="L13" s="17">
        <f>F13*K13</f>
        <v>4.70902</v>
      </c>
      <c r="M13" s="27" t="s">
        <v>7</v>
      </c>
      <c r="N13" s="17">
        <f>IF(M13="5",I13,0)</f>
        <v>0</v>
      </c>
      <c r="Y13" s="17">
        <f>IF(AC13=0,J13,0)</f>
        <v>0</v>
      </c>
      <c r="Z13" s="17">
        <f>IF(AC13=15,J13,0)</f>
        <v>0</v>
      </c>
      <c r="AA13" s="17">
        <f>IF(AC13=21,J13,0)</f>
        <v>0</v>
      </c>
      <c r="AC13" s="31">
        <v>21</v>
      </c>
      <c r="AD13" s="31">
        <f>G13*0.655</f>
        <v>0</v>
      </c>
      <c r="AE13" s="31">
        <f>G13*(1-0.655)</f>
        <v>0</v>
      </c>
    </row>
    <row r="14" spans="1:31" ht="12.75">
      <c r="A14" s="5" t="s">
        <v>8</v>
      </c>
      <c r="B14" s="5"/>
      <c r="C14" s="5" t="s">
        <v>86</v>
      </c>
      <c r="D14" s="5" t="s">
        <v>177</v>
      </c>
      <c r="E14" s="5" t="s">
        <v>270</v>
      </c>
      <c r="F14" s="17">
        <v>38.18</v>
      </c>
      <c r="G14" s="17"/>
      <c r="H14" s="17">
        <f>ROUND(F14*AD14,2)</f>
        <v>0</v>
      </c>
      <c r="I14" s="17">
        <f>J14-H14</f>
        <v>0</v>
      </c>
      <c r="J14" s="17">
        <f>ROUND(F14*G14,2)</f>
        <v>0</v>
      </c>
      <c r="K14" s="17">
        <v>0.1055</v>
      </c>
      <c r="L14" s="17">
        <f>F14*K14</f>
        <v>4.02799</v>
      </c>
      <c r="M14" s="27" t="s">
        <v>7</v>
      </c>
      <c r="N14" s="17">
        <f>IF(M14="5",I14,0)</f>
        <v>0</v>
      </c>
      <c r="Y14" s="17">
        <f>IF(AC14=0,J14,0)</f>
        <v>0</v>
      </c>
      <c r="Z14" s="17">
        <f>IF(AC14=15,J14,0)</f>
        <v>0</v>
      </c>
      <c r="AA14" s="17">
        <f>IF(AC14=21,J14,0)</f>
        <v>0</v>
      </c>
      <c r="AC14" s="31">
        <v>21</v>
      </c>
      <c r="AD14" s="31">
        <f>G14*0.720016949152542</f>
        <v>0</v>
      </c>
      <c r="AE14" s="31">
        <f>G14*(1-0.720016949152542)</f>
        <v>0</v>
      </c>
    </row>
    <row r="15" spans="1:36" ht="12.75">
      <c r="A15" s="6"/>
      <c r="B15" s="14"/>
      <c r="C15" s="14" t="s">
        <v>67</v>
      </c>
      <c r="D15" s="56" t="s">
        <v>178</v>
      </c>
      <c r="E15" s="57"/>
      <c r="F15" s="57"/>
      <c r="G15" s="57"/>
      <c r="H15" s="33">
        <f>SUM(H16:H22)</f>
        <v>0</v>
      </c>
      <c r="I15" s="33">
        <f>SUM(I16:I22)</f>
        <v>0</v>
      </c>
      <c r="J15" s="33">
        <f>H15+I15</f>
        <v>0</v>
      </c>
      <c r="K15" s="26"/>
      <c r="L15" s="33">
        <f>SUM(L16:L22)</f>
        <v>16.5803643</v>
      </c>
      <c r="O15" s="33">
        <f>IF(P15="PR",J15,SUM(N16:N22))</f>
        <v>0</v>
      </c>
      <c r="P15" s="26" t="s">
        <v>293</v>
      </c>
      <c r="Q15" s="33">
        <f>IF(P15="HS",H15,0)</f>
        <v>0</v>
      </c>
      <c r="R15" s="33">
        <f>IF(P15="HS",I15-O15,0)</f>
        <v>0</v>
      </c>
      <c r="S15" s="33">
        <f>IF(P15="PS",H15,0)</f>
        <v>0</v>
      </c>
      <c r="T15" s="33">
        <f>IF(P15="PS",I15-O15,0)</f>
        <v>0</v>
      </c>
      <c r="U15" s="33">
        <f>IF(P15="MP",H15,0)</f>
        <v>0</v>
      </c>
      <c r="V15" s="33">
        <f>IF(P15="MP",I15-O15,0)</f>
        <v>0</v>
      </c>
      <c r="W15" s="33">
        <f>IF(P15="OM",H15,0)</f>
        <v>0</v>
      </c>
      <c r="X15" s="26"/>
      <c r="AH15" s="33">
        <f>SUM(Y16:Y22)</f>
        <v>0</v>
      </c>
      <c r="AI15" s="33">
        <f>SUM(Z16:Z22)</f>
        <v>0</v>
      </c>
      <c r="AJ15" s="33">
        <f>SUM(AA16:AA22)</f>
        <v>0</v>
      </c>
    </row>
    <row r="16" spans="1:31" ht="12.75">
      <c r="A16" s="5" t="s">
        <v>9</v>
      </c>
      <c r="B16" s="5"/>
      <c r="C16" s="5" t="s">
        <v>87</v>
      </c>
      <c r="D16" s="5" t="s">
        <v>179</v>
      </c>
      <c r="E16" s="5" t="s">
        <v>270</v>
      </c>
      <c r="F16" s="17">
        <v>54.28</v>
      </c>
      <c r="G16" s="17"/>
      <c r="H16" s="17">
        <f aca="true" t="shared" si="0" ref="H16:H22">ROUND(F16*AD16,2)</f>
        <v>0</v>
      </c>
      <c r="I16" s="17">
        <f aca="true" t="shared" si="1" ref="I16:I22">J16-H16</f>
        <v>0</v>
      </c>
      <c r="J16" s="17">
        <f aca="true" t="shared" si="2" ref="J16:J22">ROUND(F16*G16,2)</f>
        <v>0</v>
      </c>
      <c r="K16" s="17">
        <v>0.01888</v>
      </c>
      <c r="L16" s="17">
        <f aca="true" t="shared" si="3" ref="L16:L22">F16*K16</f>
        <v>1.0248064000000001</v>
      </c>
      <c r="M16" s="27" t="s">
        <v>7</v>
      </c>
      <c r="N16" s="17">
        <f aca="true" t="shared" si="4" ref="N16:N22">IF(M16="5",I16,0)</f>
        <v>0</v>
      </c>
      <c r="Y16" s="17">
        <f aca="true" t="shared" si="5" ref="Y16:Y22">IF(AC16=0,J16,0)</f>
        <v>0</v>
      </c>
      <c r="Z16" s="17">
        <f aca="true" t="shared" si="6" ref="Z16:Z22">IF(AC16=15,J16,0)</f>
        <v>0</v>
      </c>
      <c r="AA16" s="17">
        <f aca="true" t="shared" si="7" ref="AA16:AA22">IF(AC16=21,J16,0)</f>
        <v>0</v>
      </c>
      <c r="AC16" s="31">
        <v>21</v>
      </c>
      <c r="AD16" s="31">
        <f>G16*0.202743413883725</f>
        <v>0</v>
      </c>
      <c r="AE16" s="31">
        <f>G16*(1-0.202743413883725)</f>
        <v>0</v>
      </c>
    </row>
    <row r="17" spans="1:31" ht="12.75">
      <c r="A17" s="5" t="s">
        <v>10</v>
      </c>
      <c r="B17" s="5"/>
      <c r="C17" s="5" t="s">
        <v>88</v>
      </c>
      <c r="D17" s="5" t="s">
        <v>180</v>
      </c>
      <c r="E17" s="5" t="s">
        <v>271</v>
      </c>
      <c r="F17" s="17">
        <v>120.2</v>
      </c>
      <c r="G17" s="17"/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0.00433</v>
      </c>
      <c r="L17" s="17">
        <f t="shared" si="3"/>
        <v>0.520466</v>
      </c>
      <c r="M17" s="27" t="s">
        <v>7</v>
      </c>
      <c r="N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0</v>
      </c>
      <c r="AC17" s="31">
        <v>21</v>
      </c>
      <c r="AD17" s="31">
        <f>G17*0.214424951267057</f>
        <v>0</v>
      </c>
      <c r="AE17" s="31">
        <f>G17*(1-0.214424951267057)</f>
        <v>0</v>
      </c>
    </row>
    <row r="18" spans="1:31" ht="12.75">
      <c r="A18" s="5" t="s">
        <v>11</v>
      </c>
      <c r="B18" s="5"/>
      <c r="C18" s="5" t="s">
        <v>89</v>
      </c>
      <c r="D18" s="5" t="s">
        <v>181</v>
      </c>
      <c r="E18" s="5" t="s">
        <v>271</v>
      </c>
      <c r="F18" s="17">
        <v>7.85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0.00849</v>
      </c>
      <c r="L18" s="17">
        <f t="shared" si="3"/>
        <v>0.0666465</v>
      </c>
      <c r="M18" s="27" t="s">
        <v>7</v>
      </c>
      <c r="N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0</v>
      </c>
      <c r="AC18" s="31">
        <v>21</v>
      </c>
      <c r="AD18" s="31">
        <f>G18*0.291841428764714</f>
        <v>0</v>
      </c>
      <c r="AE18" s="31">
        <f>G18*(1-0.291841428764714)</f>
        <v>0</v>
      </c>
    </row>
    <row r="19" spans="1:31" ht="12.75">
      <c r="A19" s="5" t="s">
        <v>12</v>
      </c>
      <c r="B19" s="5"/>
      <c r="C19" s="5" t="s">
        <v>90</v>
      </c>
      <c r="D19" s="5" t="s">
        <v>182</v>
      </c>
      <c r="E19" s="5" t="s">
        <v>271</v>
      </c>
      <c r="F19" s="17">
        <v>20.6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0.03713</v>
      </c>
      <c r="L19" s="17">
        <f t="shared" si="3"/>
        <v>0.7648780000000002</v>
      </c>
      <c r="M19" s="27" t="s">
        <v>7</v>
      </c>
      <c r="N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  <c r="AC19" s="31">
        <v>21</v>
      </c>
      <c r="AD19" s="31">
        <f>G19*0.548049532003953</f>
        <v>0</v>
      </c>
      <c r="AE19" s="31">
        <f>G19*(1-0.548049532003953)</f>
        <v>0</v>
      </c>
    </row>
    <row r="20" spans="1:31" ht="12.75">
      <c r="A20" s="5" t="s">
        <v>13</v>
      </c>
      <c r="B20" s="5"/>
      <c r="C20" s="5" t="s">
        <v>91</v>
      </c>
      <c r="D20" s="5" t="s">
        <v>183</v>
      </c>
      <c r="E20" s="5" t="s">
        <v>270</v>
      </c>
      <c r="F20" s="17">
        <v>185.91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0.03921</v>
      </c>
      <c r="L20" s="17">
        <f t="shared" si="3"/>
        <v>7.2895311000000005</v>
      </c>
      <c r="M20" s="27" t="s">
        <v>7</v>
      </c>
      <c r="N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  <c r="AC20" s="31">
        <v>21</v>
      </c>
      <c r="AD20" s="31">
        <f>G20*0.215882942946487</f>
        <v>0</v>
      </c>
      <c r="AE20" s="31">
        <f>G20*(1-0.215882942946487)</f>
        <v>0</v>
      </c>
    </row>
    <row r="21" spans="1:31" ht="12.75">
      <c r="A21" s="5" t="s">
        <v>14</v>
      </c>
      <c r="B21" s="5"/>
      <c r="C21" s="5" t="s">
        <v>92</v>
      </c>
      <c r="D21" s="5" t="s">
        <v>184</v>
      </c>
      <c r="E21" s="5" t="s">
        <v>270</v>
      </c>
      <c r="F21" s="17">
        <v>143.6</v>
      </c>
      <c r="G21" s="17"/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0.04766</v>
      </c>
      <c r="L21" s="17">
        <f t="shared" si="3"/>
        <v>6.843976</v>
      </c>
      <c r="M21" s="27" t="s">
        <v>7</v>
      </c>
      <c r="N21" s="17">
        <f t="shared" si="4"/>
        <v>0</v>
      </c>
      <c r="Y21" s="17">
        <f t="shared" si="5"/>
        <v>0</v>
      </c>
      <c r="Z21" s="17">
        <f t="shared" si="6"/>
        <v>0</v>
      </c>
      <c r="AA21" s="17">
        <f t="shared" si="7"/>
        <v>0</v>
      </c>
      <c r="AC21" s="31">
        <v>21</v>
      </c>
      <c r="AD21" s="31">
        <f>G21*0.168968105065666</f>
        <v>0</v>
      </c>
      <c r="AE21" s="31">
        <f>G21*(1-0.168968105065666)</f>
        <v>0</v>
      </c>
    </row>
    <row r="22" spans="1:31" ht="12.75">
      <c r="A22" s="5" t="s">
        <v>15</v>
      </c>
      <c r="B22" s="5"/>
      <c r="C22" s="5" t="s">
        <v>93</v>
      </c>
      <c r="D22" s="5" t="s">
        <v>185</v>
      </c>
      <c r="E22" s="5" t="s">
        <v>270</v>
      </c>
      <c r="F22" s="17">
        <v>19.09</v>
      </c>
      <c r="G22" s="17"/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0.00367</v>
      </c>
      <c r="L22" s="17">
        <f t="shared" si="3"/>
        <v>0.0700603</v>
      </c>
      <c r="M22" s="27" t="s">
        <v>7</v>
      </c>
      <c r="N22" s="17">
        <f t="shared" si="4"/>
        <v>0</v>
      </c>
      <c r="Y22" s="17">
        <f t="shared" si="5"/>
        <v>0</v>
      </c>
      <c r="Z22" s="17">
        <f t="shared" si="6"/>
        <v>0</v>
      </c>
      <c r="AA22" s="17">
        <f t="shared" si="7"/>
        <v>0</v>
      </c>
      <c r="AC22" s="31">
        <v>21</v>
      </c>
      <c r="AD22" s="31">
        <f>G22*0.304322766570605</f>
        <v>0</v>
      </c>
      <c r="AE22" s="31">
        <f>G22*(1-0.304322766570605)</f>
        <v>0</v>
      </c>
    </row>
    <row r="23" spans="1:36" ht="12.75">
      <c r="A23" s="6"/>
      <c r="B23" s="14"/>
      <c r="C23" s="14" t="s">
        <v>69</v>
      </c>
      <c r="D23" s="56" t="s">
        <v>186</v>
      </c>
      <c r="E23" s="57"/>
      <c r="F23" s="57"/>
      <c r="G23" s="57"/>
      <c r="H23" s="33">
        <f>SUM(H24:H26)</f>
        <v>0</v>
      </c>
      <c r="I23" s="33">
        <f>SUM(I24:I26)</f>
        <v>0</v>
      </c>
      <c r="J23" s="33">
        <f>H23+I23</f>
        <v>0</v>
      </c>
      <c r="K23" s="26"/>
      <c r="L23" s="33">
        <f>SUM(L24:L26)</f>
        <v>22.384462499999998</v>
      </c>
      <c r="O23" s="33">
        <f>IF(P23="PR",J23,SUM(N24:N26))</f>
        <v>0</v>
      </c>
      <c r="P23" s="26" t="s">
        <v>293</v>
      </c>
      <c r="Q23" s="33">
        <f>IF(P23="HS",H23,0)</f>
        <v>0</v>
      </c>
      <c r="R23" s="33">
        <f>IF(P23="HS",I23-O23,0)</f>
        <v>0</v>
      </c>
      <c r="S23" s="33">
        <f>IF(P23="PS",H23,0)</f>
        <v>0</v>
      </c>
      <c r="T23" s="33">
        <f>IF(P23="PS",I23-O23,0)</f>
        <v>0</v>
      </c>
      <c r="U23" s="33">
        <f>IF(P23="MP",H23,0)</f>
        <v>0</v>
      </c>
      <c r="V23" s="33">
        <f>IF(P23="MP",I23-O23,0)</f>
        <v>0</v>
      </c>
      <c r="W23" s="33">
        <f>IF(P23="OM",H23,0)</f>
        <v>0</v>
      </c>
      <c r="X23" s="26"/>
      <c r="AH23" s="33">
        <f>SUM(Y24:Y26)</f>
        <v>0</v>
      </c>
      <c r="AI23" s="33">
        <f>SUM(Z24:Z26)</f>
        <v>0</v>
      </c>
      <c r="AJ23" s="33">
        <f>SUM(AA24:AA26)</f>
        <v>0</v>
      </c>
    </row>
    <row r="24" spans="1:31" ht="12.75">
      <c r="A24" s="5" t="s">
        <v>16</v>
      </c>
      <c r="B24" s="5"/>
      <c r="C24" s="5" t="s">
        <v>94</v>
      </c>
      <c r="D24" s="5" t="s">
        <v>187</v>
      </c>
      <c r="E24" s="5" t="s">
        <v>272</v>
      </c>
      <c r="F24" s="17">
        <v>5.57</v>
      </c>
      <c r="G24" s="17"/>
      <c r="H24" s="17">
        <f>ROUND(F24*AD24,2)</f>
        <v>0</v>
      </c>
      <c r="I24" s="17">
        <f>J24-H24</f>
        <v>0</v>
      </c>
      <c r="J24" s="17">
        <f>ROUND(F24*G24,2)</f>
        <v>0</v>
      </c>
      <c r="K24" s="17">
        <v>2.525</v>
      </c>
      <c r="L24" s="17">
        <f>F24*K24</f>
        <v>14.06425</v>
      </c>
      <c r="M24" s="27" t="s">
        <v>7</v>
      </c>
      <c r="N24" s="17">
        <f>IF(M24="5",I24,0)</f>
        <v>0</v>
      </c>
      <c r="Y24" s="17">
        <f>IF(AC24=0,J24,0)</f>
        <v>0</v>
      </c>
      <c r="Z24" s="17">
        <f>IF(AC24=15,J24,0)</f>
        <v>0</v>
      </c>
      <c r="AA24" s="17">
        <f>IF(AC24=21,J24,0)</f>
        <v>0</v>
      </c>
      <c r="AC24" s="31">
        <v>21</v>
      </c>
      <c r="AD24" s="31">
        <f>G24*0.722504435748487</f>
        <v>0</v>
      </c>
      <c r="AE24" s="31">
        <f>G24*(1-0.722504435748487)</f>
        <v>0</v>
      </c>
    </row>
    <row r="25" spans="1:31" ht="12.75">
      <c r="A25" s="5" t="s">
        <v>17</v>
      </c>
      <c r="B25" s="5"/>
      <c r="C25" s="5" t="s">
        <v>95</v>
      </c>
      <c r="D25" s="5" t="s">
        <v>188</v>
      </c>
      <c r="E25" s="5" t="s">
        <v>273</v>
      </c>
      <c r="F25" s="17">
        <v>0.13</v>
      </c>
      <c r="G25" s="17"/>
      <c r="H25" s="17">
        <f>ROUND(F25*AD25,2)</f>
        <v>0</v>
      </c>
      <c r="I25" s="17">
        <f>J25-H25</f>
        <v>0</v>
      </c>
      <c r="J25" s="17">
        <f>ROUND(F25*G25,2)</f>
        <v>0</v>
      </c>
      <c r="K25" s="17">
        <v>1.06625</v>
      </c>
      <c r="L25" s="17">
        <f>F25*K25</f>
        <v>0.1386125</v>
      </c>
      <c r="M25" s="27" t="s">
        <v>7</v>
      </c>
      <c r="N25" s="17">
        <f>IF(M25="5",I25,0)</f>
        <v>0</v>
      </c>
      <c r="Y25" s="17">
        <f>IF(AC25=0,J25,0)</f>
        <v>0</v>
      </c>
      <c r="Z25" s="17">
        <f>IF(AC25=15,J25,0)</f>
        <v>0</v>
      </c>
      <c r="AA25" s="17">
        <f>IF(AC25=21,J25,0)</f>
        <v>0</v>
      </c>
      <c r="AC25" s="31">
        <v>21</v>
      </c>
      <c r="AD25" s="31">
        <f>G25*0.846590189368379</f>
        <v>0</v>
      </c>
      <c r="AE25" s="31">
        <f>G25*(1-0.846590189368379)</f>
        <v>0</v>
      </c>
    </row>
    <row r="26" spans="1:31" ht="12.75">
      <c r="A26" s="5" t="s">
        <v>18</v>
      </c>
      <c r="B26" s="5"/>
      <c r="C26" s="5" t="s">
        <v>96</v>
      </c>
      <c r="D26" s="5" t="s">
        <v>189</v>
      </c>
      <c r="E26" s="5" t="s">
        <v>272</v>
      </c>
      <c r="F26" s="17">
        <v>19.48</v>
      </c>
      <c r="G26" s="17"/>
      <c r="H26" s="17">
        <f>ROUND(F26*AD26,2)</f>
        <v>0</v>
      </c>
      <c r="I26" s="17">
        <f>J26-H26</f>
        <v>0</v>
      </c>
      <c r="J26" s="17">
        <f>ROUND(F26*G26,2)</f>
        <v>0</v>
      </c>
      <c r="K26" s="17">
        <v>0.42</v>
      </c>
      <c r="L26" s="17">
        <f>F26*K26</f>
        <v>8.1816</v>
      </c>
      <c r="M26" s="27" t="s">
        <v>7</v>
      </c>
      <c r="N26" s="17">
        <f>IF(M26="5",I26,0)</f>
        <v>0</v>
      </c>
      <c r="Y26" s="17">
        <f>IF(AC26=0,J26,0)</f>
        <v>0</v>
      </c>
      <c r="Z26" s="17">
        <f>IF(AC26=15,J26,0)</f>
        <v>0</v>
      </c>
      <c r="AA26" s="17">
        <f>IF(AC26=21,J26,0)</f>
        <v>0</v>
      </c>
      <c r="AC26" s="31">
        <v>21</v>
      </c>
      <c r="AD26" s="31">
        <f>G26*0.81363025210084</f>
        <v>0</v>
      </c>
      <c r="AE26" s="31">
        <f>G26*(1-0.81363025210084)</f>
        <v>0</v>
      </c>
    </row>
    <row r="27" spans="1:36" ht="12.75">
      <c r="A27" s="6"/>
      <c r="B27" s="14"/>
      <c r="C27" s="14" t="s">
        <v>70</v>
      </c>
      <c r="D27" s="56" t="s">
        <v>190</v>
      </c>
      <c r="E27" s="57"/>
      <c r="F27" s="57"/>
      <c r="G27" s="57"/>
      <c r="H27" s="33">
        <f>SUM(H28:H32)</f>
        <v>0</v>
      </c>
      <c r="I27" s="33">
        <f>SUM(I28:I32)</f>
        <v>0</v>
      </c>
      <c r="J27" s="33">
        <f>H27+I27</f>
        <v>0</v>
      </c>
      <c r="K27" s="26"/>
      <c r="L27" s="33">
        <f>SUM(L28:L32)</f>
        <v>0.99206</v>
      </c>
      <c r="O27" s="33">
        <f>IF(P27="PR",J27,SUM(N28:N32))</f>
        <v>0</v>
      </c>
      <c r="P27" s="26" t="s">
        <v>293</v>
      </c>
      <c r="Q27" s="33">
        <f>IF(P27="HS",H27,0)</f>
        <v>0</v>
      </c>
      <c r="R27" s="33">
        <f>IF(P27="HS",I27-O27,0)</f>
        <v>0</v>
      </c>
      <c r="S27" s="33">
        <f>IF(P27="PS",H27,0)</f>
        <v>0</v>
      </c>
      <c r="T27" s="33">
        <f>IF(P27="PS",I27-O27,0)</f>
        <v>0</v>
      </c>
      <c r="U27" s="33">
        <f>IF(P27="MP",H27,0)</f>
        <v>0</v>
      </c>
      <c r="V27" s="33">
        <f>IF(P27="MP",I27-O27,0)</f>
        <v>0</v>
      </c>
      <c r="W27" s="33">
        <f>IF(P27="OM",H27,0)</f>
        <v>0</v>
      </c>
      <c r="X27" s="26"/>
      <c r="AH27" s="33">
        <f>SUM(Y28:Y32)</f>
        <v>0</v>
      </c>
      <c r="AI27" s="33">
        <f>SUM(Z28:Z32)</f>
        <v>0</v>
      </c>
      <c r="AJ27" s="33">
        <f>SUM(AA28:AA32)</f>
        <v>0</v>
      </c>
    </row>
    <row r="28" spans="1:31" ht="12.75">
      <c r="A28" s="7" t="s">
        <v>19</v>
      </c>
      <c r="B28" s="7"/>
      <c r="C28" s="7" t="s">
        <v>97</v>
      </c>
      <c r="D28" s="7" t="s">
        <v>191</v>
      </c>
      <c r="E28" s="7" t="s">
        <v>274</v>
      </c>
      <c r="F28" s="18">
        <v>10</v>
      </c>
      <c r="G28" s="18"/>
      <c r="H28" s="18">
        <f>ROUND(F28*AD28,2)</f>
        <v>0</v>
      </c>
      <c r="I28" s="18">
        <f>J28-H28</f>
        <v>0</v>
      </c>
      <c r="J28" s="18">
        <f>ROUND(F28*G28,2)</f>
        <v>0</v>
      </c>
      <c r="K28" s="18">
        <v>0.0181</v>
      </c>
      <c r="L28" s="18">
        <f>F28*K28</f>
        <v>0.18100000000000002</v>
      </c>
      <c r="M28" s="28" t="s">
        <v>290</v>
      </c>
      <c r="N28" s="18">
        <f>IF(M28="5",I28,0)</f>
        <v>0</v>
      </c>
      <c r="Y28" s="18">
        <f>IF(AC28=0,J28,0)</f>
        <v>0</v>
      </c>
      <c r="Z28" s="18">
        <f>IF(AC28=15,J28,0)</f>
        <v>0</v>
      </c>
      <c r="AA28" s="18">
        <f>IF(AC28=21,J28,0)</f>
        <v>0</v>
      </c>
      <c r="AC28" s="31">
        <v>21</v>
      </c>
      <c r="AD28" s="31">
        <f>G28*1</f>
        <v>0</v>
      </c>
      <c r="AE28" s="31">
        <f>G28*(1-1)</f>
        <v>0</v>
      </c>
    </row>
    <row r="29" spans="1:31" ht="12.75">
      <c r="A29" s="7" t="s">
        <v>20</v>
      </c>
      <c r="B29" s="7"/>
      <c r="C29" s="7" t="s">
        <v>98</v>
      </c>
      <c r="D29" s="7" t="s">
        <v>192</v>
      </c>
      <c r="E29" s="7" t="s">
        <v>274</v>
      </c>
      <c r="F29" s="18">
        <v>8</v>
      </c>
      <c r="G29" s="18"/>
      <c r="H29" s="18">
        <f>ROUND(F29*AD29,2)</f>
        <v>0</v>
      </c>
      <c r="I29" s="18">
        <f>J29-H29</f>
        <v>0</v>
      </c>
      <c r="J29" s="18">
        <f>ROUND(F29*G29,2)</f>
        <v>0</v>
      </c>
      <c r="K29" s="18">
        <v>0.0187</v>
      </c>
      <c r="L29" s="18">
        <f>F29*K29</f>
        <v>0.1496</v>
      </c>
      <c r="M29" s="28" t="s">
        <v>290</v>
      </c>
      <c r="N29" s="18">
        <f>IF(M29="5",I29,0)</f>
        <v>0</v>
      </c>
      <c r="Y29" s="18">
        <f>IF(AC29=0,J29,0)</f>
        <v>0</v>
      </c>
      <c r="Z29" s="18">
        <f>IF(AC29=15,J29,0)</f>
        <v>0</v>
      </c>
      <c r="AA29" s="18">
        <f>IF(AC29=21,J29,0)</f>
        <v>0</v>
      </c>
      <c r="AC29" s="31">
        <v>21</v>
      </c>
      <c r="AD29" s="31">
        <f>G29*1</f>
        <v>0</v>
      </c>
      <c r="AE29" s="31">
        <f>G29*(1-1)</f>
        <v>0</v>
      </c>
    </row>
    <row r="30" spans="1:31" ht="12.75">
      <c r="A30" s="7" t="s">
        <v>21</v>
      </c>
      <c r="B30" s="7"/>
      <c r="C30" s="7" t="s">
        <v>99</v>
      </c>
      <c r="D30" s="7" t="s">
        <v>193</v>
      </c>
      <c r="E30" s="7" t="s">
        <v>274</v>
      </c>
      <c r="F30" s="18">
        <v>10</v>
      </c>
      <c r="G30" s="18"/>
      <c r="H30" s="18">
        <f>ROUND(F30*AD30,2)</f>
        <v>0</v>
      </c>
      <c r="I30" s="18">
        <f>J30-H30</f>
        <v>0</v>
      </c>
      <c r="J30" s="18">
        <f>ROUND(F30*G30,2)</f>
        <v>0</v>
      </c>
      <c r="K30" s="18">
        <v>0.016</v>
      </c>
      <c r="L30" s="18">
        <f>F30*K30</f>
        <v>0.16</v>
      </c>
      <c r="M30" s="28" t="s">
        <v>290</v>
      </c>
      <c r="N30" s="18">
        <f>IF(M30="5",I30,0)</f>
        <v>0</v>
      </c>
      <c r="Y30" s="18">
        <f>IF(AC30=0,J30,0)</f>
        <v>0</v>
      </c>
      <c r="Z30" s="18">
        <f>IF(AC30=15,J30,0)</f>
        <v>0</v>
      </c>
      <c r="AA30" s="18">
        <f>IF(AC30=21,J30,0)</f>
        <v>0</v>
      </c>
      <c r="AC30" s="31">
        <v>21</v>
      </c>
      <c r="AD30" s="31">
        <f>G30*1</f>
        <v>0</v>
      </c>
      <c r="AE30" s="31">
        <f>G30*(1-1)</f>
        <v>0</v>
      </c>
    </row>
    <row r="31" spans="1:31" ht="12.75">
      <c r="A31" s="7" t="s">
        <v>22</v>
      </c>
      <c r="B31" s="7"/>
      <c r="C31" s="7" t="s">
        <v>100</v>
      </c>
      <c r="D31" s="7" t="s">
        <v>194</v>
      </c>
      <c r="E31" s="7" t="s">
        <v>274</v>
      </c>
      <c r="F31" s="18">
        <v>8</v>
      </c>
      <c r="G31" s="18"/>
      <c r="H31" s="18">
        <f>ROUND(F31*AD31,2)</f>
        <v>0</v>
      </c>
      <c r="I31" s="18">
        <f>J31-H31</f>
        <v>0</v>
      </c>
      <c r="J31" s="18">
        <f>ROUND(F31*G31,2)</f>
        <v>0</v>
      </c>
      <c r="K31" s="18">
        <v>0.02</v>
      </c>
      <c r="L31" s="18">
        <f>F31*K31</f>
        <v>0.16</v>
      </c>
      <c r="M31" s="28" t="s">
        <v>290</v>
      </c>
      <c r="N31" s="18">
        <f>IF(M31="5",I31,0)</f>
        <v>0</v>
      </c>
      <c r="Y31" s="18">
        <f>IF(AC31=0,J31,0)</f>
        <v>0</v>
      </c>
      <c r="Z31" s="18">
        <f>IF(AC31=15,J31,0)</f>
        <v>0</v>
      </c>
      <c r="AA31" s="18">
        <f>IF(AC31=21,J31,0)</f>
        <v>0</v>
      </c>
      <c r="AC31" s="31">
        <v>21</v>
      </c>
      <c r="AD31" s="31">
        <f>G31*1</f>
        <v>0</v>
      </c>
      <c r="AE31" s="31">
        <f>G31*(1-1)</f>
        <v>0</v>
      </c>
    </row>
    <row r="32" spans="1:31" ht="12.75">
      <c r="A32" s="5" t="s">
        <v>23</v>
      </c>
      <c r="B32" s="5"/>
      <c r="C32" s="5" t="s">
        <v>101</v>
      </c>
      <c r="D32" s="5" t="s">
        <v>195</v>
      </c>
      <c r="E32" s="5" t="s">
        <v>274</v>
      </c>
      <c r="F32" s="17">
        <v>18</v>
      </c>
      <c r="G32" s="17"/>
      <c r="H32" s="17">
        <f>ROUND(F32*AD32,2)</f>
        <v>0</v>
      </c>
      <c r="I32" s="17">
        <f>J32-H32</f>
        <v>0</v>
      </c>
      <c r="J32" s="17">
        <f>ROUND(F32*G32,2)</f>
        <v>0</v>
      </c>
      <c r="K32" s="17">
        <v>0.01897</v>
      </c>
      <c r="L32" s="17">
        <f>F32*K32</f>
        <v>0.34146</v>
      </c>
      <c r="M32" s="27" t="s">
        <v>7</v>
      </c>
      <c r="N32" s="17">
        <f>IF(M32="5",I32,0)</f>
        <v>0</v>
      </c>
      <c r="Y32" s="17">
        <f>IF(AC32=0,J32,0)</f>
        <v>0</v>
      </c>
      <c r="Z32" s="17">
        <f>IF(AC32=15,J32,0)</f>
        <v>0</v>
      </c>
      <c r="AA32" s="17">
        <f>IF(AC32=21,J32,0)</f>
        <v>0</v>
      </c>
      <c r="AC32" s="31">
        <v>21</v>
      </c>
      <c r="AD32" s="31">
        <f>G32*0.0281099656357388</f>
        <v>0</v>
      </c>
      <c r="AE32" s="31">
        <f>G32*(1-0.0281099656357388)</f>
        <v>0</v>
      </c>
    </row>
    <row r="33" spans="1:36" ht="12.75">
      <c r="A33" s="6"/>
      <c r="B33" s="14"/>
      <c r="C33" s="14" t="s">
        <v>102</v>
      </c>
      <c r="D33" s="56" t="s">
        <v>196</v>
      </c>
      <c r="E33" s="57"/>
      <c r="F33" s="57"/>
      <c r="G33" s="57"/>
      <c r="H33" s="33">
        <f>SUM(H34:H39)</f>
        <v>0</v>
      </c>
      <c r="I33" s="33">
        <f>SUM(I34:I39)</f>
        <v>0</v>
      </c>
      <c r="J33" s="33">
        <f>H33+I33</f>
        <v>0</v>
      </c>
      <c r="K33" s="26"/>
      <c r="L33" s="33">
        <f>SUM(L34:L39)</f>
        <v>0.17648</v>
      </c>
      <c r="O33" s="33">
        <f>IF(P33="PR",J33,SUM(N34:N39))</f>
        <v>0</v>
      </c>
      <c r="P33" s="26" t="s">
        <v>294</v>
      </c>
      <c r="Q33" s="33">
        <f>IF(P33="HS",H33,0)</f>
        <v>0</v>
      </c>
      <c r="R33" s="33">
        <f>IF(P33="HS",I33-O33,0)</f>
        <v>0</v>
      </c>
      <c r="S33" s="33">
        <f>IF(P33="PS",H33,0)</f>
        <v>0</v>
      </c>
      <c r="T33" s="33">
        <f>IF(P33="PS",I33-O33,0)</f>
        <v>0</v>
      </c>
      <c r="U33" s="33">
        <f>IF(P33="MP",H33,0)</f>
        <v>0</v>
      </c>
      <c r="V33" s="33">
        <f>IF(P33="MP",I33-O33,0)</f>
        <v>0</v>
      </c>
      <c r="W33" s="33">
        <f>IF(P33="OM",H33,0)</f>
        <v>0</v>
      </c>
      <c r="X33" s="26"/>
      <c r="AH33" s="33">
        <f>SUM(Y34:Y39)</f>
        <v>0</v>
      </c>
      <c r="AI33" s="33">
        <f>SUM(Z34:Z39)</f>
        <v>0</v>
      </c>
      <c r="AJ33" s="33">
        <f>SUM(AA34:AA39)</f>
        <v>0</v>
      </c>
    </row>
    <row r="34" spans="1:31" ht="12.75">
      <c r="A34" s="5" t="s">
        <v>24</v>
      </c>
      <c r="B34" s="5"/>
      <c r="C34" s="5" t="s">
        <v>103</v>
      </c>
      <c r="D34" s="5" t="s">
        <v>197</v>
      </c>
      <c r="E34" s="5" t="s">
        <v>275</v>
      </c>
      <c r="F34" s="17">
        <v>1</v>
      </c>
      <c r="G34" s="17"/>
      <c r="H34" s="17">
        <f aca="true" t="shared" si="8" ref="H34:H39">ROUND(F34*AD34,2)</f>
        <v>0</v>
      </c>
      <c r="I34" s="17">
        <f aca="true" t="shared" si="9" ref="I34:I39">J34-H34</f>
        <v>0</v>
      </c>
      <c r="J34" s="17">
        <f aca="true" t="shared" si="10" ref="J34:J39">ROUND(F34*G34,2)</f>
        <v>0</v>
      </c>
      <c r="K34" s="17">
        <v>0</v>
      </c>
      <c r="L34" s="17">
        <f aca="true" t="shared" si="11" ref="L34:L39">F34*K34</f>
        <v>0</v>
      </c>
      <c r="M34" s="27" t="s">
        <v>7</v>
      </c>
      <c r="N34" s="17">
        <f aca="true" t="shared" si="12" ref="N34:N39">IF(M34="5",I34,0)</f>
        <v>0</v>
      </c>
      <c r="Y34" s="17">
        <f aca="true" t="shared" si="13" ref="Y34:Y39">IF(AC34=0,J34,0)</f>
        <v>0</v>
      </c>
      <c r="Z34" s="17">
        <f aca="true" t="shared" si="14" ref="Z34:Z39">IF(AC34=15,J34,0)</f>
        <v>0</v>
      </c>
      <c r="AA34" s="17">
        <f aca="true" t="shared" si="15" ref="AA34:AA39">IF(AC34=21,J34,0)</f>
        <v>0</v>
      </c>
      <c r="AC34" s="31">
        <v>21</v>
      </c>
      <c r="AD34" s="31">
        <f>G34*0.600391772771792</f>
        <v>0</v>
      </c>
      <c r="AE34" s="31">
        <f>G34*(1-0.600391772771792)</f>
        <v>0</v>
      </c>
    </row>
    <row r="35" spans="1:31" ht="12.75">
      <c r="A35" s="5" t="s">
        <v>25</v>
      </c>
      <c r="B35" s="5"/>
      <c r="C35" s="5" t="s">
        <v>104</v>
      </c>
      <c r="D35" s="5" t="s">
        <v>198</v>
      </c>
      <c r="E35" s="5" t="s">
        <v>271</v>
      </c>
      <c r="F35" s="17">
        <v>45</v>
      </c>
      <c r="G35" s="17"/>
      <c r="H35" s="17">
        <f t="shared" si="8"/>
        <v>0</v>
      </c>
      <c r="I35" s="17">
        <f t="shared" si="9"/>
        <v>0</v>
      </c>
      <c r="J35" s="17">
        <f t="shared" si="10"/>
        <v>0</v>
      </c>
      <c r="K35" s="17">
        <v>0.00047</v>
      </c>
      <c r="L35" s="17">
        <f t="shared" si="11"/>
        <v>0.02115</v>
      </c>
      <c r="M35" s="27" t="s">
        <v>7</v>
      </c>
      <c r="N35" s="17">
        <f t="shared" si="12"/>
        <v>0</v>
      </c>
      <c r="Y35" s="17">
        <f t="shared" si="13"/>
        <v>0</v>
      </c>
      <c r="Z35" s="17">
        <f t="shared" si="14"/>
        <v>0</v>
      </c>
      <c r="AA35" s="17">
        <f t="shared" si="15"/>
        <v>0</v>
      </c>
      <c r="AC35" s="31">
        <v>21</v>
      </c>
      <c r="AD35" s="31">
        <f>G35*0.292693498452012</f>
        <v>0</v>
      </c>
      <c r="AE35" s="31">
        <f>G35*(1-0.292693498452012)</f>
        <v>0</v>
      </c>
    </row>
    <row r="36" spans="1:31" ht="12.75">
      <c r="A36" s="5" t="s">
        <v>26</v>
      </c>
      <c r="B36" s="5"/>
      <c r="C36" s="5" t="s">
        <v>105</v>
      </c>
      <c r="D36" s="5" t="s">
        <v>199</v>
      </c>
      <c r="E36" s="5" t="s">
        <v>271</v>
      </c>
      <c r="F36" s="17">
        <v>21.4</v>
      </c>
      <c r="G36" s="17"/>
      <c r="H36" s="17">
        <f t="shared" si="8"/>
        <v>0</v>
      </c>
      <c r="I36" s="17">
        <f t="shared" si="9"/>
        <v>0</v>
      </c>
      <c r="J36" s="17">
        <f t="shared" si="10"/>
        <v>0</v>
      </c>
      <c r="K36" s="17">
        <v>0.00195</v>
      </c>
      <c r="L36" s="17">
        <f t="shared" si="11"/>
        <v>0.041729999999999996</v>
      </c>
      <c r="M36" s="27" t="s">
        <v>7</v>
      </c>
      <c r="N36" s="17">
        <f t="shared" si="12"/>
        <v>0</v>
      </c>
      <c r="Y36" s="17">
        <f t="shared" si="13"/>
        <v>0</v>
      </c>
      <c r="Z36" s="17">
        <f t="shared" si="14"/>
        <v>0</v>
      </c>
      <c r="AA36" s="17">
        <f t="shared" si="15"/>
        <v>0</v>
      </c>
      <c r="AC36" s="31">
        <v>21</v>
      </c>
      <c r="AD36" s="31">
        <f>G36*0.428063337393423</f>
        <v>0</v>
      </c>
      <c r="AE36" s="31">
        <f>G36*(1-0.428063337393423)</f>
        <v>0</v>
      </c>
    </row>
    <row r="37" spans="1:31" ht="12.75">
      <c r="A37" s="5" t="s">
        <v>27</v>
      </c>
      <c r="B37" s="5"/>
      <c r="C37" s="5" t="s">
        <v>106</v>
      </c>
      <c r="D37" s="5" t="s">
        <v>200</v>
      </c>
      <c r="E37" s="5" t="s">
        <v>271</v>
      </c>
      <c r="F37" s="17">
        <v>32</v>
      </c>
      <c r="G37" s="17"/>
      <c r="H37" s="17">
        <f t="shared" si="8"/>
        <v>0</v>
      </c>
      <c r="I37" s="17">
        <f t="shared" si="9"/>
        <v>0</v>
      </c>
      <c r="J37" s="17">
        <f t="shared" si="10"/>
        <v>0</v>
      </c>
      <c r="K37" s="17">
        <v>0.00355</v>
      </c>
      <c r="L37" s="17">
        <f t="shared" si="11"/>
        <v>0.1136</v>
      </c>
      <c r="M37" s="27" t="s">
        <v>7</v>
      </c>
      <c r="N37" s="17">
        <f t="shared" si="12"/>
        <v>0</v>
      </c>
      <c r="Y37" s="17">
        <f t="shared" si="13"/>
        <v>0</v>
      </c>
      <c r="Z37" s="17">
        <f t="shared" si="14"/>
        <v>0</v>
      </c>
      <c r="AA37" s="17">
        <f t="shared" si="15"/>
        <v>0</v>
      </c>
      <c r="AC37" s="31">
        <v>21</v>
      </c>
      <c r="AD37" s="31">
        <f>G37*0.532683578104139</f>
        <v>0</v>
      </c>
      <c r="AE37" s="31">
        <f>G37*(1-0.532683578104139)</f>
        <v>0</v>
      </c>
    </row>
    <row r="38" spans="1:31" ht="12.75">
      <c r="A38" s="5" t="s">
        <v>28</v>
      </c>
      <c r="B38" s="5"/>
      <c r="C38" s="5" t="s">
        <v>107</v>
      </c>
      <c r="D38" s="5" t="s">
        <v>201</v>
      </c>
      <c r="E38" s="5" t="s">
        <v>274</v>
      </c>
      <c r="F38" s="17">
        <v>18</v>
      </c>
      <c r="G38" s="17"/>
      <c r="H38" s="17">
        <f t="shared" si="8"/>
        <v>0</v>
      </c>
      <c r="I38" s="17">
        <f t="shared" si="9"/>
        <v>0</v>
      </c>
      <c r="J38" s="17">
        <f t="shared" si="10"/>
        <v>0</v>
      </c>
      <c r="K38" s="17">
        <v>0</v>
      </c>
      <c r="L38" s="17">
        <f t="shared" si="11"/>
        <v>0</v>
      </c>
      <c r="M38" s="27" t="s">
        <v>7</v>
      </c>
      <c r="N38" s="17">
        <f t="shared" si="12"/>
        <v>0</v>
      </c>
      <c r="Y38" s="17">
        <f t="shared" si="13"/>
        <v>0</v>
      </c>
      <c r="Z38" s="17">
        <f t="shared" si="14"/>
        <v>0</v>
      </c>
      <c r="AA38" s="17">
        <f t="shared" si="15"/>
        <v>0</v>
      </c>
      <c r="AC38" s="31">
        <v>21</v>
      </c>
      <c r="AD38" s="31">
        <f>G38*0</f>
        <v>0</v>
      </c>
      <c r="AE38" s="31">
        <f>G38*(1-0)</f>
        <v>0</v>
      </c>
    </row>
    <row r="39" spans="1:31" ht="12.75">
      <c r="A39" s="5" t="s">
        <v>29</v>
      </c>
      <c r="B39" s="5"/>
      <c r="C39" s="5" t="s">
        <v>108</v>
      </c>
      <c r="D39" s="5" t="s">
        <v>202</v>
      </c>
      <c r="E39" s="5" t="s">
        <v>274</v>
      </c>
      <c r="F39" s="17">
        <v>10</v>
      </c>
      <c r="G39" s="17"/>
      <c r="H39" s="17">
        <f t="shared" si="8"/>
        <v>0</v>
      </c>
      <c r="I39" s="17">
        <f t="shared" si="9"/>
        <v>0</v>
      </c>
      <c r="J39" s="17">
        <f t="shared" si="10"/>
        <v>0</v>
      </c>
      <c r="K39" s="17">
        <v>0</v>
      </c>
      <c r="L39" s="17">
        <f t="shared" si="11"/>
        <v>0</v>
      </c>
      <c r="M39" s="27" t="s">
        <v>7</v>
      </c>
      <c r="N39" s="17">
        <f t="shared" si="12"/>
        <v>0</v>
      </c>
      <c r="Y39" s="17">
        <f t="shared" si="13"/>
        <v>0</v>
      </c>
      <c r="Z39" s="17">
        <f t="shared" si="14"/>
        <v>0</v>
      </c>
      <c r="AA39" s="17">
        <f t="shared" si="15"/>
        <v>0</v>
      </c>
      <c r="AC39" s="31">
        <v>21</v>
      </c>
      <c r="AD39" s="31">
        <f>G39*0</f>
        <v>0</v>
      </c>
      <c r="AE39" s="31">
        <f>G39*(1-0)</f>
        <v>0</v>
      </c>
    </row>
    <row r="40" spans="1:36" ht="12.75">
      <c r="A40" s="6"/>
      <c r="B40" s="14"/>
      <c r="C40" s="14" t="s">
        <v>109</v>
      </c>
      <c r="D40" s="56" t="s">
        <v>203</v>
      </c>
      <c r="E40" s="57"/>
      <c r="F40" s="57"/>
      <c r="G40" s="57"/>
      <c r="H40" s="33">
        <f>SUM(H41:H43)</f>
        <v>0</v>
      </c>
      <c r="I40" s="33">
        <f>SUM(I41:I43)</f>
        <v>0</v>
      </c>
      <c r="J40" s="33">
        <f>H40+I40</f>
        <v>0</v>
      </c>
      <c r="K40" s="26"/>
      <c r="L40" s="33">
        <f>SUM(L41:L43)</f>
        <v>0.360218</v>
      </c>
      <c r="O40" s="33">
        <f>IF(P40="PR",J40,SUM(N41:N43))</f>
        <v>0</v>
      </c>
      <c r="P40" s="26" t="s">
        <v>294</v>
      </c>
      <c r="Q40" s="33">
        <f>IF(P40="HS",H40,0)</f>
        <v>0</v>
      </c>
      <c r="R40" s="33">
        <f>IF(P40="HS",I40-O40,0)</f>
        <v>0</v>
      </c>
      <c r="S40" s="33">
        <f>IF(P40="PS",H40,0)</f>
        <v>0</v>
      </c>
      <c r="T40" s="33">
        <f>IF(P40="PS",I40-O40,0)</f>
        <v>0</v>
      </c>
      <c r="U40" s="33">
        <f>IF(P40="MP",H40,0)</f>
        <v>0</v>
      </c>
      <c r="V40" s="33">
        <f>IF(P40="MP",I40-O40,0)</f>
        <v>0</v>
      </c>
      <c r="W40" s="33">
        <f>IF(P40="OM",H40,0)</f>
        <v>0</v>
      </c>
      <c r="X40" s="26"/>
      <c r="AH40" s="33">
        <f>SUM(Y41:Y43)</f>
        <v>0</v>
      </c>
      <c r="AI40" s="33">
        <f>SUM(Z41:Z43)</f>
        <v>0</v>
      </c>
      <c r="AJ40" s="33">
        <f>SUM(AA41:AA43)</f>
        <v>0</v>
      </c>
    </row>
    <row r="41" spans="1:31" ht="12.75">
      <c r="A41" s="5" t="s">
        <v>30</v>
      </c>
      <c r="B41" s="5"/>
      <c r="C41" s="5" t="s">
        <v>110</v>
      </c>
      <c r="D41" s="5" t="s">
        <v>204</v>
      </c>
      <c r="E41" s="5" t="s">
        <v>271</v>
      </c>
      <c r="F41" s="17">
        <v>66.8</v>
      </c>
      <c r="G41" s="17"/>
      <c r="H41" s="17">
        <f>ROUND(F41*AD41,2)</f>
        <v>0</v>
      </c>
      <c r="I41" s="17">
        <f>J41-H41</f>
        <v>0</v>
      </c>
      <c r="J41" s="17">
        <f>ROUND(F41*G41,2)</f>
        <v>0</v>
      </c>
      <c r="K41" s="17">
        <v>0.00398</v>
      </c>
      <c r="L41" s="17">
        <f>F41*K41</f>
        <v>0.265864</v>
      </c>
      <c r="M41" s="27" t="s">
        <v>7</v>
      </c>
      <c r="N41" s="17">
        <f>IF(M41="5",I41,0)</f>
        <v>0</v>
      </c>
      <c r="Y41" s="17">
        <f>IF(AC41=0,J41,0)</f>
        <v>0</v>
      </c>
      <c r="Z41" s="17">
        <f>IF(AC41=15,J41,0)</f>
        <v>0</v>
      </c>
      <c r="AA41" s="17">
        <f>IF(AC41=21,J41,0)</f>
        <v>0</v>
      </c>
      <c r="AC41" s="31">
        <v>21</v>
      </c>
      <c r="AD41" s="31">
        <f>G41*0.224848484848485</f>
        <v>0</v>
      </c>
      <c r="AE41" s="31">
        <f>G41*(1-0.224848484848485)</f>
        <v>0</v>
      </c>
    </row>
    <row r="42" spans="1:31" ht="12.75">
      <c r="A42" s="5" t="s">
        <v>31</v>
      </c>
      <c r="B42" s="5"/>
      <c r="C42" s="5" t="s">
        <v>111</v>
      </c>
      <c r="D42" s="5" t="s">
        <v>205</v>
      </c>
      <c r="E42" s="5" t="s">
        <v>271</v>
      </c>
      <c r="F42" s="17">
        <v>23.4</v>
      </c>
      <c r="G42" s="17"/>
      <c r="H42" s="17">
        <f>ROUND(F42*AD42,2)</f>
        <v>0</v>
      </c>
      <c r="I42" s="17">
        <f>J42-H42</f>
        <v>0</v>
      </c>
      <c r="J42" s="17">
        <f>ROUND(F42*G42,2)</f>
        <v>0</v>
      </c>
      <c r="K42" s="17">
        <v>0.00401</v>
      </c>
      <c r="L42" s="17">
        <f>F42*K42</f>
        <v>0.09383399999999999</v>
      </c>
      <c r="M42" s="27" t="s">
        <v>7</v>
      </c>
      <c r="N42" s="17">
        <f>IF(M42="5",I42,0)</f>
        <v>0</v>
      </c>
      <c r="Y42" s="17">
        <f>IF(AC42=0,J42,0)</f>
        <v>0</v>
      </c>
      <c r="Z42" s="17">
        <f>IF(AC42=15,J42,0)</f>
        <v>0</v>
      </c>
      <c r="AA42" s="17">
        <f>IF(AC42=21,J42,0)</f>
        <v>0</v>
      </c>
      <c r="AC42" s="31">
        <v>21</v>
      </c>
      <c r="AD42" s="31">
        <f>G42*0.250540540540541</f>
        <v>0</v>
      </c>
      <c r="AE42" s="31">
        <f>G42*(1-0.250540540540541)</f>
        <v>0</v>
      </c>
    </row>
    <row r="43" spans="1:31" ht="12.75">
      <c r="A43" s="5" t="s">
        <v>32</v>
      </c>
      <c r="B43" s="5"/>
      <c r="C43" s="5" t="s">
        <v>112</v>
      </c>
      <c r="D43" s="5" t="s">
        <v>206</v>
      </c>
      <c r="E43" s="5" t="s">
        <v>274</v>
      </c>
      <c r="F43" s="17">
        <v>26</v>
      </c>
      <c r="G43" s="17"/>
      <c r="H43" s="17">
        <f>ROUND(F43*AD43,2)</f>
        <v>0</v>
      </c>
      <c r="I43" s="17">
        <f>J43-H43</f>
        <v>0</v>
      </c>
      <c r="J43" s="17">
        <f>ROUND(F43*G43,2)</f>
        <v>0</v>
      </c>
      <c r="K43" s="17">
        <v>2E-05</v>
      </c>
      <c r="L43" s="17">
        <f>F43*K43</f>
        <v>0.0005200000000000001</v>
      </c>
      <c r="M43" s="27" t="s">
        <v>7</v>
      </c>
      <c r="N43" s="17">
        <f>IF(M43="5",I43,0)</f>
        <v>0</v>
      </c>
      <c r="Y43" s="17">
        <f>IF(AC43=0,J43,0)</f>
        <v>0</v>
      </c>
      <c r="Z43" s="17">
        <f>IF(AC43=15,J43,0)</f>
        <v>0</v>
      </c>
      <c r="AA43" s="17">
        <f>IF(AC43=21,J43,0)</f>
        <v>0</v>
      </c>
      <c r="AC43" s="31">
        <v>21</v>
      </c>
      <c r="AD43" s="31">
        <f>G43*0.0655685441020191</f>
        <v>0</v>
      </c>
      <c r="AE43" s="31">
        <f>G43*(1-0.0655685441020191)</f>
        <v>0</v>
      </c>
    </row>
    <row r="44" spans="1:36" ht="12.75">
      <c r="A44" s="6"/>
      <c r="B44" s="14"/>
      <c r="C44" s="14" t="s">
        <v>113</v>
      </c>
      <c r="D44" s="56" t="s">
        <v>207</v>
      </c>
      <c r="E44" s="57"/>
      <c r="F44" s="57"/>
      <c r="G44" s="57"/>
      <c r="H44" s="33">
        <f>SUM(H45:H57)</f>
        <v>0</v>
      </c>
      <c r="I44" s="33">
        <f>SUM(I45:I57)</f>
        <v>0</v>
      </c>
      <c r="J44" s="33">
        <f>H44+I44</f>
        <v>0</v>
      </c>
      <c r="K44" s="26"/>
      <c r="L44" s="33">
        <f>SUM(L45:L57)</f>
        <v>1.126</v>
      </c>
      <c r="O44" s="33">
        <f>IF(P44="PR",J44,SUM(N45:N57))</f>
        <v>0</v>
      </c>
      <c r="P44" s="26" t="s">
        <v>294</v>
      </c>
      <c r="Q44" s="33">
        <f>IF(P44="HS",H44,0)</f>
        <v>0</v>
      </c>
      <c r="R44" s="33">
        <f>IF(P44="HS",I44-O44,0)</f>
        <v>0</v>
      </c>
      <c r="S44" s="33">
        <f>IF(P44="PS",H44,0)</f>
        <v>0</v>
      </c>
      <c r="T44" s="33">
        <f>IF(P44="PS",I44-O44,0)</f>
        <v>0</v>
      </c>
      <c r="U44" s="33">
        <f>IF(P44="MP",H44,0)</f>
        <v>0</v>
      </c>
      <c r="V44" s="33">
        <f>IF(P44="MP",I44-O44,0)</f>
        <v>0</v>
      </c>
      <c r="W44" s="33">
        <f>IF(P44="OM",H44,0)</f>
        <v>0</v>
      </c>
      <c r="X44" s="26"/>
      <c r="AH44" s="33">
        <f>SUM(Y45:Y57)</f>
        <v>0</v>
      </c>
      <c r="AI44" s="33">
        <f>SUM(Z45:Z57)</f>
        <v>0</v>
      </c>
      <c r="AJ44" s="33">
        <f>SUM(AA45:AA57)</f>
        <v>0</v>
      </c>
    </row>
    <row r="45" spans="1:31" ht="12.75">
      <c r="A45" s="5" t="s">
        <v>33</v>
      </c>
      <c r="B45" s="5"/>
      <c r="C45" s="5" t="s">
        <v>114</v>
      </c>
      <c r="D45" s="5" t="s">
        <v>208</v>
      </c>
      <c r="E45" s="5" t="s">
        <v>275</v>
      </c>
      <c r="F45" s="17">
        <v>10</v>
      </c>
      <c r="G45" s="17"/>
      <c r="H45" s="17">
        <f aca="true" t="shared" si="16" ref="H45:H57">ROUND(F45*AD45,2)</f>
        <v>0</v>
      </c>
      <c r="I45" s="17">
        <f aca="true" t="shared" si="17" ref="I45:I57">J45-H45</f>
        <v>0</v>
      </c>
      <c r="J45" s="17">
        <f aca="true" t="shared" si="18" ref="J45:J57">ROUND(F45*G45,2)</f>
        <v>0</v>
      </c>
      <c r="K45" s="17">
        <v>0.02794</v>
      </c>
      <c r="L45" s="17">
        <f aca="true" t="shared" si="19" ref="L45:L57">F45*K45</f>
        <v>0.2794</v>
      </c>
      <c r="M45" s="27" t="s">
        <v>7</v>
      </c>
      <c r="N45" s="17">
        <f aca="true" t="shared" si="20" ref="N45:N57">IF(M45="5",I45,0)</f>
        <v>0</v>
      </c>
      <c r="Y45" s="17">
        <f aca="true" t="shared" si="21" ref="Y45:Y57">IF(AC45=0,J45,0)</f>
        <v>0</v>
      </c>
      <c r="Z45" s="17">
        <f aca="true" t="shared" si="22" ref="Z45:Z57">IF(AC45=15,J45,0)</f>
        <v>0</v>
      </c>
      <c r="AA45" s="17">
        <f aca="true" t="shared" si="23" ref="AA45:AA57">IF(AC45=21,J45,0)</f>
        <v>0</v>
      </c>
      <c r="AC45" s="31">
        <v>21</v>
      </c>
      <c r="AD45" s="31">
        <f>G45*0.871082156388715</f>
        <v>0</v>
      </c>
      <c r="AE45" s="31">
        <f>G45*(1-0.871082156388715)</f>
        <v>0</v>
      </c>
    </row>
    <row r="46" spans="1:31" ht="12.75">
      <c r="A46" s="5" t="s">
        <v>34</v>
      </c>
      <c r="B46" s="5"/>
      <c r="C46" s="5" t="s">
        <v>115</v>
      </c>
      <c r="D46" s="5" t="s">
        <v>209</v>
      </c>
      <c r="E46" s="5" t="s">
        <v>275</v>
      </c>
      <c r="F46" s="17">
        <v>6</v>
      </c>
      <c r="G46" s="17"/>
      <c r="H46" s="17">
        <f t="shared" si="16"/>
        <v>0</v>
      </c>
      <c r="I46" s="17">
        <f t="shared" si="17"/>
        <v>0</v>
      </c>
      <c r="J46" s="17">
        <f t="shared" si="18"/>
        <v>0</v>
      </c>
      <c r="K46" s="17">
        <v>0.02421</v>
      </c>
      <c r="L46" s="17">
        <f t="shared" si="19"/>
        <v>0.14526</v>
      </c>
      <c r="M46" s="27" t="s">
        <v>7</v>
      </c>
      <c r="N46" s="17">
        <f t="shared" si="20"/>
        <v>0</v>
      </c>
      <c r="Y46" s="17">
        <f t="shared" si="21"/>
        <v>0</v>
      </c>
      <c r="Z46" s="17">
        <f t="shared" si="22"/>
        <v>0</v>
      </c>
      <c r="AA46" s="17">
        <f t="shared" si="23"/>
        <v>0</v>
      </c>
      <c r="AC46" s="31">
        <v>21</v>
      </c>
      <c r="AD46" s="31">
        <f>G46*0.969086469989827</f>
        <v>0</v>
      </c>
      <c r="AE46" s="31">
        <f>G46*(1-0.969086469989827)</f>
        <v>0</v>
      </c>
    </row>
    <row r="47" spans="1:31" ht="12.75">
      <c r="A47" s="5" t="s">
        <v>35</v>
      </c>
      <c r="B47" s="5"/>
      <c r="C47" s="5" t="s">
        <v>116</v>
      </c>
      <c r="D47" s="5" t="s">
        <v>210</v>
      </c>
      <c r="E47" s="5" t="s">
        <v>275</v>
      </c>
      <c r="F47" s="17">
        <v>12</v>
      </c>
      <c r="G47" s="17"/>
      <c r="H47" s="17">
        <f t="shared" si="16"/>
        <v>0</v>
      </c>
      <c r="I47" s="17">
        <f t="shared" si="17"/>
        <v>0</v>
      </c>
      <c r="J47" s="17">
        <f t="shared" si="18"/>
        <v>0</v>
      </c>
      <c r="K47" s="17">
        <v>0.01201</v>
      </c>
      <c r="L47" s="17">
        <f t="shared" si="19"/>
        <v>0.14412</v>
      </c>
      <c r="M47" s="27" t="s">
        <v>7</v>
      </c>
      <c r="N47" s="17">
        <f t="shared" si="20"/>
        <v>0</v>
      </c>
      <c r="Y47" s="17">
        <f t="shared" si="21"/>
        <v>0</v>
      </c>
      <c r="Z47" s="17">
        <f t="shared" si="22"/>
        <v>0</v>
      </c>
      <c r="AA47" s="17">
        <f t="shared" si="23"/>
        <v>0</v>
      </c>
      <c r="AC47" s="31">
        <v>21</v>
      </c>
      <c r="AD47" s="31">
        <f>G47*0.689240182108096</f>
        <v>0</v>
      </c>
      <c r="AE47" s="31">
        <f>G47*(1-0.689240182108096)</f>
        <v>0</v>
      </c>
    </row>
    <row r="48" spans="1:31" ht="12.75">
      <c r="A48" s="5" t="s">
        <v>36</v>
      </c>
      <c r="B48" s="5"/>
      <c r="C48" s="5" t="s">
        <v>117</v>
      </c>
      <c r="D48" s="5" t="s">
        <v>211</v>
      </c>
      <c r="E48" s="5" t="s">
        <v>275</v>
      </c>
      <c r="F48" s="17">
        <v>14</v>
      </c>
      <c r="G48" s="17"/>
      <c r="H48" s="17">
        <f t="shared" si="16"/>
        <v>0</v>
      </c>
      <c r="I48" s="17">
        <f t="shared" si="17"/>
        <v>0</v>
      </c>
      <c r="J48" s="17">
        <f t="shared" si="18"/>
        <v>0</v>
      </c>
      <c r="K48" s="17">
        <v>0.01933</v>
      </c>
      <c r="L48" s="17">
        <f t="shared" si="19"/>
        <v>0.27061999999999997</v>
      </c>
      <c r="M48" s="27" t="s">
        <v>7</v>
      </c>
      <c r="N48" s="17">
        <f t="shared" si="20"/>
        <v>0</v>
      </c>
      <c r="Y48" s="17">
        <f t="shared" si="21"/>
        <v>0</v>
      </c>
      <c r="Z48" s="17">
        <f t="shared" si="22"/>
        <v>0</v>
      </c>
      <c r="AA48" s="17">
        <f t="shared" si="23"/>
        <v>0</v>
      </c>
      <c r="AC48" s="31">
        <v>21</v>
      </c>
      <c r="AD48" s="31">
        <f>G48*0</f>
        <v>0</v>
      </c>
      <c r="AE48" s="31">
        <f>G48*(1-0)</f>
        <v>0</v>
      </c>
    </row>
    <row r="49" spans="1:31" ht="12.75">
      <c r="A49" s="5" t="s">
        <v>37</v>
      </c>
      <c r="B49" s="5"/>
      <c r="C49" s="5" t="s">
        <v>118</v>
      </c>
      <c r="D49" s="5" t="s">
        <v>212</v>
      </c>
      <c r="E49" s="5" t="s">
        <v>275</v>
      </c>
      <c r="F49" s="17">
        <v>8</v>
      </c>
      <c r="G49" s="17"/>
      <c r="H49" s="17">
        <f t="shared" si="16"/>
        <v>0</v>
      </c>
      <c r="I49" s="17">
        <f t="shared" si="17"/>
        <v>0</v>
      </c>
      <c r="J49" s="17">
        <f t="shared" si="18"/>
        <v>0</v>
      </c>
      <c r="K49" s="17">
        <v>0.01107</v>
      </c>
      <c r="L49" s="17">
        <f t="shared" si="19"/>
        <v>0.08856</v>
      </c>
      <c r="M49" s="27" t="s">
        <v>7</v>
      </c>
      <c r="N49" s="17">
        <f t="shared" si="20"/>
        <v>0</v>
      </c>
      <c r="Y49" s="17">
        <f t="shared" si="21"/>
        <v>0</v>
      </c>
      <c r="Z49" s="17">
        <f t="shared" si="22"/>
        <v>0</v>
      </c>
      <c r="AA49" s="17">
        <f t="shared" si="23"/>
        <v>0</v>
      </c>
      <c r="AC49" s="31">
        <v>21</v>
      </c>
      <c r="AD49" s="31">
        <f>G49*0</f>
        <v>0</v>
      </c>
      <c r="AE49" s="31">
        <f>G49*(1-0)</f>
        <v>0</v>
      </c>
    </row>
    <row r="50" spans="1:31" ht="12.75">
      <c r="A50" s="5" t="s">
        <v>38</v>
      </c>
      <c r="B50" s="5"/>
      <c r="C50" s="5" t="s">
        <v>119</v>
      </c>
      <c r="D50" s="5" t="s">
        <v>213</v>
      </c>
      <c r="E50" s="5" t="s">
        <v>275</v>
      </c>
      <c r="F50" s="17">
        <v>6</v>
      </c>
      <c r="G50" s="17"/>
      <c r="H50" s="17">
        <f t="shared" si="16"/>
        <v>0</v>
      </c>
      <c r="I50" s="17">
        <f t="shared" si="17"/>
        <v>0</v>
      </c>
      <c r="J50" s="17">
        <f t="shared" si="18"/>
        <v>0</v>
      </c>
      <c r="K50" s="17">
        <v>0.01946</v>
      </c>
      <c r="L50" s="17">
        <f t="shared" si="19"/>
        <v>0.11676</v>
      </c>
      <c r="M50" s="27" t="s">
        <v>7</v>
      </c>
      <c r="N50" s="17">
        <f t="shared" si="20"/>
        <v>0</v>
      </c>
      <c r="Y50" s="17">
        <f t="shared" si="21"/>
        <v>0</v>
      </c>
      <c r="Z50" s="17">
        <f t="shared" si="22"/>
        <v>0</v>
      </c>
      <c r="AA50" s="17">
        <f t="shared" si="23"/>
        <v>0</v>
      </c>
      <c r="AC50" s="31">
        <v>21</v>
      </c>
      <c r="AD50" s="31">
        <f>G50*0</f>
        <v>0</v>
      </c>
      <c r="AE50" s="31">
        <f>G50*(1-0)</f>
        <v>0</v>
      </c>
    </row>
    <row r="51" spans="1:31" ht="12.75">
      <c r="A51" s="5" t="s">
        <v>39</v>
      </c>
      <c r="B51" s="5"/>
      <c r="C51" s="5" t="s">
        <v>120</v>
      </c>
      <c r="D51" s="5" t="s">
        <v>214</v>
      </c>
      <c r="E51" s="5" t="s">
        <v>275</v>
      </c>
      <c r="F51" s="17">
        <v>40</v>
      </c>
      <c r="G51" s="17"/>
      <c r="H51" s="17">
        <f t="shared" si="16"/>
        <v>0</v>
      </c>
      <c r="I51" s="17">
        <f t="shared" si="17"/>
        <v>0</v>
      </c>
      <c r="J51" s="17">
        <f t="shared" si="18"/>
        <v>0</v>
      </c>
      <c r="K51" s="17">
        <v>0.00017</v>
      </c>
      <c r="L51" s="17">
        <f t="shared" si="19"/>
        <v>0.0068000000000000005</v>
      </c>
      <c r="M51" s="27" t="s">
        <v>7</v>
      </c>
      <c r="N51" s="17">
        <f t="shared" si="20"/>
        <v>0</v>
      </c>
      <c r="Y51" s="17">
        <f t="shared" si="21"/>
        <v>0</v>
      </c>
      <c r="Z51" s="17">
        <f t="shared" si="22"/>
        <v>0</v>
      </c>
      <c r="AA51" s="17">
        <f t="shared" si="23"/>
        <v>0</v>
      </c>
      <c r="AC51" s="31">
        <v>21</v>
      </c>
      <c r="AD51" s="31">
        <f>G51*0.584918673486982</f>
        <v>0</v>
      </c>
      <c r="AE51" s="31">
        <f>G51*(1-0.584918673486982)</f>
        <v>0</v>
      </c>
    </row>
    <row r="52" spans="1:31" ht="12.75">
      <c r="A52" s="5" t="s">
        <v>40</v>
      </c>
      <c r="B52" s="5"/>
      <c r="C52" s="5" t="s">
        <v>121</v>
      </c>
      <c r="D52" s="5" t="s">
        <v>215</v>
      </c>
      <c r="E52" s="5" t="s">
        <v>275</v>
      </c>
      <c r="F52" s="17">
        <v>40</v>
      </c>
      <c r="G52" s="17"/>
      <c r="H52" s="17">
        <f t="shared" si="16"/>
        <v>0</v>
      </c>
      <c r="I52" s="17">
        <f t="shared" si="17"/>
        <v>0</v>
      </c>
      <c r="J52" s="17">
        <f t="shared" si="18"/>
        <v>0</v>
      </c>
      <c r="K52" s="17">
        <v>8E-05</v>
      </c>
      <c r="L52" s="17">
        <f t="shared" si="19"/>
        <v>0.0032</v>
      </c>
      <c r="M52" s="27" t="s">
        <v>7</v>
      </c>
      <c r="N52" s="17">
        <f t="shared" si="20"/>
        <v>0</v>
      </c>
      <c r="Y52" s="17">
        <f t="shared" si="21"/>
        <v>0</v>
      </c>
      <c r="Z52" s="17">
        <f t="shared" si="22"/>
        <v>0</v>
      </c>
      <c r="AA52" s="17">
        <f t="shared" si="23"/>
        <v>0</v>
      </c>
      <c r="AC52" s="31">
        <v>21</v>
      </c>
      <c r="AD52" s="31">
        <f>G52*0.287490347490347</f>
        <v>0</v>
      </c>
      <c r="AE52" s="31">
        <f>G52*(1-0.287490347490347)</f>
        <v>0</v>
      </c>
    </row>
    <row r="53" spans="1:31" ht="12.75">
      <c r="A53" s="5" t="s">
        <v>41</v>
      </c>
      <c r="B53" s="5"/>
      <c r="C53" s="5" t="s">
        <v>122</v>
      </c>
      <c r="D53" s="5" t="s">
        <v>216</v>
      </c>
      <c r="E53" s="5" t="s">
        <v>275</v>
      </c>
      <c r="F53" s="17">
        <v>6</v>
      </c>
      <c r="G53" s="17"/>
      <c r="H53" s="17">
        <f t="shared" si="16"/>
        <v>0</v>
      </c>
      <c r="I53" s="17">
        <f t="shared" si="17"/>
        <v>0</v>
      </c>
      <c r="J53" s="17">
        <f t="shared" si="18"/>
        <v>0</v>
      </c>
      <c r="K53" s="17">
        <v>0.00156</v>
      </c>
      <c r="L53" s="17">
        <f t="shared" si="19"/>
        <v>0.00936</v>
      </c>
      <c r="M53" s="27" t="s">
        <v>7</v>
      </c>
      <c r="N53" s="17">
        <f t="shared" si="20"/>
        <v>0</v>
      </c>
      <c r="Y53" s="17">
        <f t="shared" si="21"/>
        <v>0</v>
      </c>
      <c r="Z53" s="17">
        <f t="shared" si="22"/>
        <v>0</v>
      </c>
      <c r="AA53" s="17">
        <f t="shared" si="23"/>
        <v>0</v>
      </c>
      <c r="AC53" s="31">
        <v>21</v>
      </c>
      <c r="AD53" s="31">
        <f>G53*0</f>
        <v>0</v>
      </c>
      <c r="AE53" s="31">
        <f>G53*(1-0)</f>
        <v>0</v>
      </c>
    </row>
    <row r="54" spans="1:31" ht="12.75">
      <c r="A54" s="5" t="s">
        <v>42</v>
      </c>
      <c r="B54" s="5"/>
      <c r="C54" s="5" t="s">
        <v>123</v>
      </c>
      <c r="D54" s="5" t="s">
        <v>217</v>
      </c>
      <c r="E54" s="5" t="s">
        <v>274</v>
      </c>
      <c r="F54" s="17">
        <v>12</v>
      </c>
      <c r="G54" s="17"/>
      <c r="H54" s="17">
        <f t="shared" si="16"/>
        <v>0</v>
      </c>
      <c r="I54" s="17">
        <f t="shared" si="17"/>
        <v>0</v>
      </c>
      <c r="J54" s="17">
        <f t="shared" si="18"/>
        <v>0</v>
      </c>
      <c r="K54" s="17">
        <v>0.00085</v>
      </c>
      <c r="L54" s="17">
        <f t="shared" si="19"/>
        <v>0.010199999999999999</v>
      </c>
      <c r="M54" s="27" t="s">
        <v>7</v>
      </c>
      <c r="N54" s="17">
        <f t="shared" si="20"/>
        <v>0</v>
      </c>
      <c r="Y54" s="17">
        <f t="shared" si="21"/>
        <v>0</v>
      </c>
      <c r="Z54" s="17">
        <f t="shared" si="22"/>
        <v>0</v>
      </c>
      <c r="AA54" s="17">
        <f t="shared" si="23"/>
        <v>0</v>
      </c>
      <c r="AC54" s="31">
        <v>21</v>
      </c>
      <c r="AD54" s="31">
        <f>G54*0.92625</f>
        <v>0</v>
      </c>
      <c r="AE54" s="31">
        <f>G54*(1-0.92625)</f>
        <v>0</v>
      </c>
    </row>
    <row r="55" spans="1:31" ht="12.75">
      <c r="A55" s="5" t="s">
        <v>43</v>
      </c>
      <c r="B55" s="5"/>
      <c r="C55" s="5" t="s">
        <v>124</v>
      </c>
      <c r="D55" s="5" t="s">
        <v>218</v>
      </c>
      <c r="E55" s="5" t="s">
        <v>274</v>
      </c>
      <c r="F55" s="17">
        <v>12</v>
      </c>
      <c r="G55" s="17"/>
      <c r="H55" s="17">
        <f t="shared" si="16"/>
        <v>0</v>
      </c>
      <c r="I55" s="17">
        <f t="shared" si="17"/>
        <v>0</v>
      </c>
      <c r="J55" s="17">
        <f t="shared" si="18"/>
        <v>0</v>
      </c>
      <c r="K55" s="17">
        <v>0.00022</v>
      </c>
      <c r="L55" s="17">
        <f t="shared" si="19"/>
        <v>0.00264</v>
      </c>
      <c r="M55" s="27" t="s">
        <v>7</v>
      </c>
      <c r="N55" s="17">
        <f t="shared" si="20"/>
        <v>0</v>
      </c>
      <c r="Y55" s="17">
        <f t="shared" si="21"/>
        <v>0</v>
      </c>
      <c r="Z55" s="17">
        <f t="shared" si="22"/>
        <v>0</v>
      </c>
      <c r="AA55" s="17">
        <f t="shared" si="23"/>
        <v>0</v>
      </c>
      <c r="AC55" s="31">
        <v>21</v>
      </c>
      <c r="AD55" s="31">
        <f>G55*0.863372040361588</f>
        <v>0</v>
      </c>
      <c r="AE55" s="31">
        <f>G55*(1-0.863372040361588)</f>
        <v>0</v>
      </c>
    </row>
    <row r="56" spans="1:31" ht="12.75">
      <c r="A56" s="5" t="s">
        <v>44</v>
      </c>
      <c r="B56" s="5"/>
      <c r="C56" s="5" t="s">
        <v>125</v>
      </c>
      <c r="D56" s="5" t="s">
        <v>219</v>
      </c>
      <c r="E56" s="5" t="s">
        <v>274</v>
      </c>
      <c r="F56" s="17">
        <v>6</v>
      </c>
      <c r="G56" s="17"/>
      <c r="H56" s="17">
        <f t="shared" si="16"/>
        <v>0</v>
      </c>
      <c r="I56" s="17">
        <f t="shared" si="17"/>
        <v>0</v>
      </c>
      <c r="J56" s="17">
        <f t="shared" si="18"/>
        <v>0</v>
      </c>
      <c r="K56" s="17">
        <v>0.00018</v>
      </c>
      <c r="L56" s="17">
        <f t="shared" si="19"/>
        <v>0.00108</v>
      </c>
      <c r="M56" s="27" t="s">
        <v>7</v>
      </c>
      <c r="N56" s="17">
        <f t="shared" si="20"/>
        <v>0</v>
      </c>
      <c r="Y56" s="17">
        <f t="shared" si="21"/>
        <v>0</v>
      </c>
      <c r="Z56" s="17">
        <f t="shared" si="22"/>
        <v>0</v>
      </c>
      <c r="AA56" s="17">
        <f t="shared" si="23"/>
        <v>0</v>
      </c>
      <c r="AC56" s="31">
        <v>21</v>
      </c>
      <c r="AD56" s="31">
        <f>G56*0.899265112807115</f>
        <v>0</v>
      </c>
      <c r="AE56" s="31">
        <f>G56*(1-0.899265112807115)</f>
        <v>0</v>
      </c>
    </row>
    <row r="57" spans="1:31" ht="12.75">
      <c r="A57" s="5" t="s">
        <v>45</v>
      </c>
      <c r="B57" s="5"/>
      <c r="C57" s="5" t="s">
        <v>126</v>
      </c>
      <c r="D57" s="5" t="s">
        <v>220</v>
      </c>
      <c r="E57" s="5" t="s">
        <v>274</v>
      </c>
      <c r="F57" s="17">
        <v>6</v>
      </c>
      <c r="G57" s="17"/>
      <c r="H57" s="17">
        <f t="shared" si="16"/>
        <v>0</v>
      </c>
      <c r="I57" s="17">
        <f t="shared" si="17"/>
        <v>0</v>
      </c>
      <c r="J57" s="17">
        <f t="shared" si="18"/>
        <v>0</v>
      </c>
      <c r="K57" s="17">
        <v>0.008</v>
      </c>
      <c r="L57" s="17">
        <f t="shared" si="19"/>
        <v>0.048</v>
      </c>
      <c r="M57" s="27" t="s">
        <v>7</v>
      </c>
      <c r="N57" s="17">
        <f t="shared" si="20"/>
        <v>0</v>
      </c>
      <c r="Y57" s="17">
        <f t="shared" si="21"/>
        <v>0</v>
      </c>
      <c r="Z57" s="17">
        <f t="shared" si="22"/>
        <v>0</v>
      </c>
      <c r="AA57" s="17">
        <f t="shared" si="23"/>
        <v>0</v>
      </c>
      <c r="AC57" s="31">
        <v>21</v>
      </c>
      <c r="AD57" s="31">
        <f>G57*0</f>
        <v>0</v>
      </c>
      <c r="AE57" s="31">
        <f>G57*(1-0)</f>
        <v>0</v>
      </c>
    </row>
    <row r="58" spans="1:36" ht="12.75">
      <c r="A58" s="6"/>
      <c r="B58" s="14"/>
      <c r="C58" s="14" t="s">
        <v>80</v>
      </c>
      <c r="D58" s="56" t="s">
        <v>221</v>
      </c>
      <c r="E58" s="57"/>
      <c r="F58" s="57"/>
      <c r="G58" s="57"/>
      <c r="H58" s="33">
        <f>SUM(H59:H60)</f>
        <v>0</v>
      </c>
      <c r="I58" s="33">
        <f>SUM(I59:I60)</f>
        <v>0</v>
      </c>
      <c r="J58" s="33">
        <f>H58+I58</f>
        <v>0</v>
      </c>
      <c r="K58" s="26"/>
      <c r="L58" s="33">
        <f>SUM(L59:L60)</f>
        <v>0</v>
      </c>
      <c r="O58" s="33">
        <f>IF(P58="PR",J58,SUM(N59:N60))</f>
        <v>0</v>
      </c>
      <c r="P58" s="26" t="s">
        <v>294</v>
      </c>
      <c r="Q58" s="33">
        <f>IF(P58="HS",H58,0)</f>
        <v>0</v>
      </c>
      <c r="R58" s="33">
        <f>IF(P58="HS",I58-O58,0)</f>
        <v>0</v>
      </c>
      <c r="S58" s="33">
        <f>IF(P58="PS",H58,0)</f>
        <v>0</v>
      </c>
      <c r="T58" s="33">
        <f>IF(P58="PS",I58-O58,0)</f>
        <v>0</v>
      </c>
      <c r="U58" s="33">
        <f>IF(P58="MP",H58,0)</f>
        <v>0</v>
      </c>
      <c r="V58" s="33">
        <f>IF(P58="MP",I58-O58,0)</f>
        <v>0</v>
      </c>
      <c r="W58" s="33">
        <f>IF(P58="OM",H58,0)</f>
        <v>0</v>
      </c>
      <c r="X58" s="26"/>
      <c r="AH58" s="33">
        <f>SUM(Y59:Y60)</f>
        <v>0</v>
      </c>
      <c r="AI58" s="33">
        <f>SUM(Z59:Z60)</f>
        <v>0</v>
      </c>
      <c r="AJ58" s="33">
        <f>SUM(AA59:AA60)</f>
        <v>0</v>
      </c>
    </row>
    <row r="59" spans="1:31" ht="12.75">
      <c r="A59" s="5" t="s">
        <v>46</v>
      </c>
      <c r="B59" s="5"/>
      <c r="C59" s="5" t="s">
        <v>127</v>
      </c>
      <c r="D59" s="5" t="s">
        <v>222</v>
      </c>
      <c r="E59" s="5" t="s">
        <v>275</v>
      </c>
      <c r="F59" s="17">
        <v>2</v>
      </c>
      <c r="G59" s="17"/>
      <c r="H59" s="17">
        <f>ROUND(F59*AD59,2)</f>
        <v>0</v>
      </c>
      <c r="I59" s="17">
        <f>J59-H59</f>
        <v>0</v>
      </c>
      <c r="J59" s="17">
        <f>ROUND(F59*G59,2)</f>
        <v>0</v>
      </c>
      <c r="K59" s="17">
        <v>0</v>
      </c>
      <c r="L59" s="17">
        <f>F59*K59</f>
        <v>0</v>
      </c>
      <c r="M59" s="27" t="s">
        <v>7</v>
      </c>
      <c r="N59" s="17">
        <f>IF(M59="5",I59,0)</f>
        <v>0</v>
      </c>
      <c r="Y59" s="17">
        <f>IF(AC59=0,J59,0)</f>
        <v>0</v>
      </c>
      <c r="Z59" s="17">
        <f>IF(AC59=15,J59,0)</f>
        <v>0</v>
      </c>
      <c r="AA59" s="17">
        <f>IF(AC59=21,J59,0)</f>
        <v>0</v>
      </c>
      <c r="AC59" s="31">
        <v>21</v>
      </c>
      <c r="AD59" s="31">
        <f>G59*0.672597738631127</f>
        <v>0</v>
      </c>
      <c r="AE59" s="31">
        <f>G59*(1-0.672597738631127)</f>
        <v>0</v>
      </c>
    </row>
    <row r="60" spans="1:31" ht="12.75">
      <c r="A60" s="5" t="s">
        <v>47</v>
      </c>
      <c r="B60" s="5"/>
      <c r="C60" s="5" t="s">
        <v>128</v>
      </c>
      <c r="D60" s="5" t="s">
        <v>223</v>
      </c>
      <c r="E60" s="5" t="s">
        <v>275</v>
      </c>
      <c r="F60" s="17">
        <v>2</v>
      </c>
      <c r="G60" s="17"/>
      <c r="H60" s="17">
        <f>ROUND(F60*AD60,2)</f>
        <v>0</v>
      </c>
      <c r="I60" s="17">
        <f>J60-H60</f>
        <v>0</v>
      </c>
      <c r="J60" s="17">
        <f>ROUND(F60*G60,2)</f>
        <v>0</v>
      </c>
      <c r="K60" s="17">
        <v>0</v>
      </c>
      <c r="L60" s="17">
        <f>F60*K60</f>
        <v>0</v>
      </c>
      <c r="M60" s="27" t="s">
        <v>7</v>
      </c>
      <c r="N60" s="17">
        <f>IF(M60="5",I60,0)</f>
        <v>0</v>
      </c>
      <c r="Y60" s="17">
        <f>IF(AC60=0,J60,0)</f>
        <v>0</v>
      </c>
      <c r="Z60" s="17">
        <f>IF(AC60=15,J60,0)</f>
        <v>0</v>
      </c>
      <c r="AA60" s="17">
        <f>IF(AC60=21,J60,0)</f>
        <v>0</v>
      </c>
      <c r="AC60" s="31">
        <v>21</v>
      </c>
      <c r="AD60" s="31">
        <f>G60*0.574249132463803</f>
        <v>0</v>
      </c>
      <c r="AE60" s="31">
        <f>G60*(1-0.574249132463803)</f>
        <v>0</v>
      </c>
    </row>
    <row r="61" spans="1:36" ht="12.75">
      <c r="A61" s="6"/>
      <c r="B61" s="14"/>
      <c r="C61" s="14" t="s">
        <v>129</v>
      </c>
      <c r="D61" s="56" t="s">
        <v>224</v>
      </c>
      <c r="E61" s="57"/>
      <c r="F61" s="57"/>
      <c r="G61" s="57"/>
      <c r="H61" s="33">
        <f>SUM(H62:H66)</f>
        <v>0</v>
      </c>
      <c r="I61" s="33">
        <f>SUM(I62:I66)</f>
        <v>0</v>
      </c>
      <c r="J61" s="33">
        <f>H61+I61</f>
        <v>0</v>
      </c>
      <c r="K61" s="26"/>
      <c r="L61" s="33">
        <f>SUM(L62:L66)</f>
        <v>0.0144</v>
      </c>
      <c r="O61" s="33">
        <f>IF(P61="PR",J61,SUM(N62:N66))</f>
        <v>0</v>
      </c>
      <c r="P61" s="26" t="s">
        <v>294</v>
      </c>
      <c r="Q61" s="33">
        <f>IF(P61="HS",H61,0)</f>
        <v>0</v>
      </c>
      <c r="R61" s="33">
        <f>IF(P61="HS",I61-O61,0)</f>
        <v>0</v>
      </c>
      <c r="S61" s="33">
        <f>IF(P61="PS",H61,0)</f>
        <v>0</v>
      </c>
      <c r="T61" s="33">
        <f>IF(P61="PS",I61-O61,0)</f>
        <v>0</v>
      </c>
      <c r="U61" s="33">
        <f>IF(P61="MP",H61,0)</f>
        <v>0</v>
      </c>
      <c r="V61" s="33">
        <f>IF(P61="MP",I61-O61,0)</f>
        <v>0</v>
      </c>
      <c r="W61" s="33">
        <f>IF(P61="OM",H61,0)</f>
        <v>0</v>
      </c>
      <c r="X61" s="26"/>
      <c r="AH61" s="33">
        <f>SUM(Y62:Y66)</f>
        <v>0</v>
      </c>
      <c r="AI61" s="33">
        <f>SUM(Z62:Z66)</f>
        <v>0</v>
      </c>
      <c r="AJ61" s="33">
        <f>SUM(AA62:AA66)</f>
        <v>0</v>
      </c>
    </row>
    <row r="62" spans="1:31" ht="12.75">
      <c r="A62" s="7" t="s">
        <v>48</v>
      </c>
      <c r="B62" s="7"/>
      <c r="C62" s="7" t="s">
        <v>130</v>
      </c>
      <c r="D62" s="7" t="s">
        <v>225</v>
      </c>
      <c r="E62" s="7" t="s">
        <v>274</v>
      </c>
      <c r="F62" s="18">
        <v>14</v>
      </c>
      <c r="G62" s="18"/>
      <c r="H62" s="18">
        <f>ROUND(F62*AD62,2)</f>
        <v>0</v>
      </c>
      <c r="I62" s="18">
        <f>J62-H62</f>
        <v>0</v>
      </c>
      <c r="J62" s="18">
        <f>ROUND(F62*G62,2)</f>
        <v>0</v>
      </c>
      <c r="K62" s="18">
        <v>0.0008</v>
      </c>
      <c r="L62" s="18">
        <f>F62*K62</f>
        <v>0.0112</v>
      </c>
      <c r="M62" s="28" t="s">
        <v>290</v>
      </c>
      <c r="N62" s="18">
        <f>IF(M62="5",I62,0)</f>
        <v>0</v>
      </c>
      <c r="Y62" s="18">
        <f>IF(AC62=0,J62,0)</f>
        <v>0</v>
      </c>
      <c r="Z62" s="18">
        <f>IF(AC62=15,J62,0)</f>
        <v>0</v>
      </c>
      <c r="AA62" s="18">
        <f>IF(AC62=21,J62,0)</f>
        <v>0</v>
      </c>
      <c r="AC62" s="31">
        <v>21</v>
      </c>
      <c r="AD62" s="31">
        <f>G62*1</f>
        <v>0</v>
      </c>
      <c r="AE62" s="31">
        <f>G62*(1-1)</f>
        <v>0</v>
      </c>
    </row>
    <row r="63" spans="1:31" ht="12.75">
      <c r="A63" s="7" t="s">
        <v>49</v>
      </c>
      <c r="B63" s="7"/>
      <c r="C63" s="7" t="s">
        <v>131</v>
      </c>
      <c r="D63" s="7" t="s">
        <v>226</v>
      </c>
      <c r="E63" s="7" t="s">
        <v>274</v>
      </c>
      <c r="F63" s="18">
        <v>4</v>
      </c>
      <c r="G63" s="18"/>
      <c r="H63" s="18">
        <f>ROUND(F63*AD63,2)</f>
        <v>0</v>
      </c>
      <c r="I63" s="18">
        <f>J63-H63</f>
        <v>0</v>
      </c>
      <c r="J63" s="18">
        <f>ROUND(F63*G63,2)</f>
        <v>0</v>
      </c>
      <c r="K63" s="18">
        <v>0.0008</v>
      </c>
      <c r="L63" s="18">
        <f>F63*K63</f>
        <v>0.0032</v>
      </c>
      <c r="M63" s="28" t="s">
        <v>290</v>
      </c>
      <c r="N63" s="18">
        <f>IF(M63="5",I63,0)</f>
        <v>0</v>
      </c>
      <c r="Y63" s="18">
        <f>IF(AC63=0,J63,0)</f>
        <v>0</v>
      </c>
      <c r="Z63" s="18">
        <f>IF(AC63=15,J63,0)</f>
        <v>0</v>
      </c>
      <c r="AA63" s="18">
        <f>IF(AC63=21,J63,0)</f>
        <v>0</v>
      </c>
      <c r="AC63" s="31">
        <v>21</v>
      </c>
      <c r="AD63" s="31">
        <f>G63*1</f>
        <v>0</v>
      </c>
      <c r="AE63" s="31">
        <f>G63*(1-1)</f>
        <v>0</v>
      </c>
    </row>
    <row r="64" spans="1:31" ht="12.75">
      <c r="A64" s="5" t="s">
        <v>50</v>
      </c>
      <c r="B64" s="5"/>
      <c r="C64" s="5" t="s">
        <v>132</v>
      </c>
      <c r="D64" s="5" t="s">
        <v>227</v>
      </c>
      <c r="E64" s="5" t="s">
        <v>274</v>
      </c>
      <c r="F64" s="17">
        <v>18</v>
      </c>
      <c r="G64" s="17"/>
      <c r="H64" s="17">
        <f>ROUND(F64*AD64,2)</f>
        <v>0</v>
      </c>
      <c r="I64" s="17">
        <f>J64-H64</f>
        <v>0</v>
      </c>
      <c r="J64" s="17">
        <f>ROUND(F64*G64,2)</f>
        <v>0</v>
      </c>
      <c r="K64" s="17">
        <v>0</v>
      </c>
      <c r="L64" s="17">
        <f>F64*K64</f>
        <v>0</v>
      </c>
      <c r="M64" s="27" t="s">
        <v>7</v>
      </c>
      <c r="N64" s="17">
        <f>IF(M64="5",I64,0)</f>
        <v>0</v>
      </c>
      <c r="Y64" s="17">
        <f>IF(AC64=0,J64,0)</f>
        <v>0</v>
      </c>
      <c r="Z64" s="17">
        <f>IF(AC64=15,J64,0)</f>
        <v>0</v>
      </c>
      <c r="AA64" s="17">
        <f>IF(AC64=21,J64,0)</f>
        <v>0</v>
      </c>
      <c r="AC64" s="31">
        <v>21</v>
      </c>
      <c r="AD64" s="31">
        <f>G64*0</f>
        <v>0</v>
      </c>
      <c r="AE64" s="31">
        <f>G64*(1-0)</f>
        <v>0</v>
      </c>
    </row>
    <row r="65" spans="1:31" ht="12.75">
      <c r="A65" s="5" t="s">
        <v>51</v>
      </c>
      <c r="B65" s="5"/>
      <c r="C65" s="5" t="s">
        <v>133</v>
      </c>
      <c r="D65" s="5" t="s">
        <v>228</v>
      </c>
      <c r="E65" s="5" t="s">
        <v>274</v>
      </c>
      <c r="F65" s="17">
        <v>4</v>
      </c>
      <c r="G65" s="17"/>
      <c r="H65" s="17">
        <f>ROUND(F65*AD65,2)</f>
        <v>0</v>
      </c>
      <c r="I65" s="17">
        <f>J65-H65</f>
        <v>0</v>
      </c>
      <c r="J65" s="17">
        <f>ROUND(F65*G65,2)</f>
        <v>0</v>
      </c>
      <c r="K65" s="17">
        <v>0</v>
      </c>
      <c r="L65" s="17">
        <f>F65*K65</f>
        <v>0</v>
      </c>
      <c r="M65" s="27" t="s">
        <v>7</v>
      </c>
      <c r="N65" s="17">
        <f>IF(M65="5",I65,0)</f>
        <v>0</v>
      </c>
      <c r="Y65" s="17">
        <f>IF(AC65=0,J65,0)</f>
        <v>0</v>
      </c>
      <c r="Z65" s="17">
        <f>IF(AC65=15,J65,0)</f>
        <v>0</v>
      </c>
      <c r="AA65" s="17">
        <f>IF(AC65=21,J65,0)</f>
        <v>0</v>
      </c>
      <c r="AC65" s="31">
        <v>21</v>
      </c>
      <c r="AD65" s="31">
        <f>G65*0.917964211015571</f>
        <v>0</v>
      </c>
      <c r="AE65" s="31">
        <f>G65*(1-0.917964211015571)</f>
        <v>0</v>
      </c>
    </row>
    <row r="66" spans="1:31" ht="12.75">
      <c r="A66" s="5" t="s">
        <v>52</v>
      </c>
      <c r="B66" s="5"/>
      <c r="C66" s="5" t="s">
        <v>134</v>
      </c>
      <c r="D66" s="5" t="s">
        <v>229</v>
      </c>
      <c r="E66" s="5" t="s">
        <v>274</v>
      </c>
      <c r="F66" s="17">
        <v>18</v>
      </c>
      <c r="G66" s="17"/>
      <c r="H66" s="17">
        <f>ROUND(F66*AD66,2)</f>
        <v>0</v>
      </c>
      <c r="I66" s="17">
        <f>J66-H66</f>
        <v>0</v>
      </c>
      <c r="J66" s="17">
        <f>ROUND(F66*G66,2)</f>
        <v>0</v>
      </c>
      <c r="K66" s="17">
        <v>0</v>
      </c>
      <c r="L66" s="17">
        <f>F66*K66</f>
        <v>0</v>
      </c>
      <c r="M66" s="27" t="s">
        <v>7</v>
      </c>
      <c r="N66" s="17">
        <f>IF(M66="5",I66,0)</f>
        <v>0</v>
      </c>
      <c r="Y66" s="17">
        <f>IF(AC66=0,J66,0)</f>
        <v>0</v>
      </c>
      <c r="Z66" s="17">
        <f>IF(AC66=15,J66,0)</f>
        <v>0</v>
      </c>
      <c r="AA66" s="17">
        <f>IF(AC66=21,J66,0)</f>
        <v>0</v>
      </c>
      <c r="AC66" s="31">
        <v>21</v>
      </c>
      <c r="AD66" s="31">
        <f>G66*0</f>
        <v>0</v>
      </c>
      <c r="AE66" s="31">
        <f>G66*(1-0)</f>
        <v>0</v>
      </c>
    </row>
    <row r="67" spans="1:36" ht="12.75">
      <c r="A67" s="6"/>
      <c r="B67" s="14"/>
      <c r="C67" s="14" t="s">
        <v>135</v>
      </c>
      <c r="D67" s="56" t="s">
        <v>230</v>
      </c>
      <c r="E67" s="57"/>
      <c r="F67" s="57"/>
      <c r="G67" s="57"/>
      <c r="H67" s="33">
        <f>SUM(H68:H74)</f>
        <v>0</v>
      </c>
      <c r="I67" s="33">
        <f>SUM(I68:I74)</f>
        <v>0</v>
      </c>
      <c r="J67" s="33">
        <f>H67+I67</f>
        <v>0</v>
      </c>
      <c r="K67" s="26"/>
      <c r="L67" s="33">
        <f>SUM(L68:L74)</f>
        <v>1.4284207999999998</v>
      </c>
      <c r="O67" s="33">
        <f>IF(P67="PR",J67,SUM(N68:N74))</f>
        <v>0</v>
      </c>
      <c r="P67" s="26" t="s">
        <v>294</v>
      </c>
      <c r="Q67" s="33">
        <f>IF(P67="HS",H67,0)</f>
        <v>0</v>
      </c>
      <c r="R67" s="33">
        <f>IF(P67="HS",I67-O67,0)</f>
        <v>0</v>
      </c>
      <c r="S67" s="33">
        <f>IF(P67="PS",H67,0)</f>
        <v>0</v>
      </c>
      <c r="T67" s="33">
        <f>IF(P67="PS",I67-O67,0)</f>
        <v>0</v>
      </c>
      <c r="U67" s="33">
        <f>IF(P67="MP",H67,0)</f>
        <v>0</v>
      </c>
      <c r="V67" s="33">
        <f>IF(P67="MP",I67-O67,0)</f>
        <v>0</v>
      </c>
      <c r="W67" s="33">
        <f>IF(P67="OM",H67,0)</f>
        <v>0</v>
      </c>
      <c r="X67" s="26"/>
      <c r="AH67" s="33">
        <f>SUM(Y68:Y74)</f>
        <v>0</v>
      </c>
      <c r="AI67" s="33">
        <f>SUM(Z68:Z74)</f>
        <v>0</v>
      </c>
      <c r="AJ67" s="33">
        <f>SUM(AA68:AA74)</f>
        <v>0</v>
      </c>
    </row>
    <row r="68" spans="1:31" ht="12.75">
      <c r="A68" s="7" t="s">
        <v>53</v>
      </c>
      <c r="B68" s="7"/>
      <c r="C68" s="7" t="s">
        <v>136</v>
      </c>
      <c r="D68" s="7" t="s">
        <v>231</v>
      </c>
      <c r="E68" s="7" t="s">
        <v>270</v>
      </c>
      <c r="F68" s="18">
        <v>59.89</v>
      </c>
      <c r="G68" s="18"/>
      <c r="H68" s="18">
        <f aca="true" t="shared" si="24" ref="H68:H74">ROUND(F68*AD68,2)</f>
        <v>0</v>
      </c>
      <c r="I68" s="18">
        <f aca="true" t="shared" si="25" ref="I68:I74">J68-H68</f>
        <v>0</v>
      </c>
      <c r="J68" s="18">
        <f aca="true" t="shared" si="26" ref="J68:J74">ROUND(F68*G68,2)</f>
        <v>0</v>
      </c>
      <c r="K68" s="18">
        <v>0.0192</v>
      </c>
      <c r="L68" s="18">
        <f aca="true" t="shared" si="27" ref="L68:L74">F68*K68</f>
        <v>1.1498879999999998</v>
      </c>
      <c r="M68" s="28" t="s">
        <v>290</v>
      </c>
      <c r="N68" s="18">
        <f aca="true" t="shared" si="28" ref="N68:N74">IF(M68="5",I68,0)</f>
        <v>0</v>
      </c>
      <c r="Y68" s="18">
        <f aca="true" t="shared" si="29" ref="Y68:Y74">IF(AC68=0,J68,0)</f>
        <v>0</v>
      </c>
      <c r="Z68" s="18">
        <f aca="true" t="shared" si="30" ref="Z68:Z74">IF(AC68=15,J68,0)</f>
        <v>0</v>
      </c>
      <c r="AA68" s="18">
        <f aca="true" t="shared" si="31" ref="AA68:AA74">IF(AC68=21,J68,0)</f>
        <v>0</v>
      </c>
      <c r="AC68" s="31">
        <v>21</v>
      </c>
      <c r="AD68" s="31">
        <f>G68*1</f>
        <v>0</v>
      </c>
      <c r="AE68" s="31">
        <f>G68*(1-1)</f>
        <v>0</v>
      </c>
    </row>
    <row r="69" spans="1:31" ht="12.75">
      <c r="A69" s="5" t="s">
        <v>54</v>
      </c>
      <c r="B69" s="5"/>
      <c r="C69" s="5" t="s">
        <v>137</v>
      </c>
      <c r="D69" s="5" t="s">
        <v>232</v>
      </c>
      <c r="E69" s="5" t="s">
        <v>270</v>
      </c>
      <c r="F69" s="17">
        <v>54.28</v>
      </c>
      <c r="G69" s="17"/>
      <c r="H69" s="17">
        <f t="shared" si="24"/>
        <v>0</v>
      </c>
      <c r="I69" s="17">
        <f t="shared" si="25"/>
        <v>0</v>
      </c>
      <c r="J69" s="17">
        <f t="shared" si="26"/>
        <v>0</v>
      </c>
      <c r="K69" s="17">
        <v>0</v>
      </c>
      <c r="L69" s="17">
        <f t="shared" si="27"/>
        <v>0</v>
      </c>
      <c r="M69" s="27" t="s">
        <v>7</v>
      </c>
      <c r="N69" s="17">
        <f t="shared" si="28"/>
        <v>0</v>
      </c>
      <c r="Y69" s="17">
        <f t="shared" si="29"/>
        <v>0</v>
      </c>
      <c r="Z69" s="17">
        <f t="shared" si="30"/>
        <v>0</v>
      </c>
      <c r="AA69" s="17">
        <f t="shared" si="31"/>
        <v>0</v>
      </c>
      <c r="AC69" s="31">
        <v>21</v>
      </c>
      <c r="AD69" s="31">
        <f>G69*0</f>
        <v>0</v>
      </c>
      <c r="AE69" s="31">
        <f>G69*(1-0)</f>
        <v>0</v>
      </c>
    </row>
    <row r="70" spans="1:31" ht="12.75">
      <c r="A70" s="5" t="s">
        <v>55</v>
      </c>
      <c r="B70" s="5"/>
      <c r="C70" s="5" t="s">
        <v>138</v>
      </c>
      <c r="D70" s="5" t="s">
        <v>233</v>
      </c>
      <c r="E70" s="5" t="s">
        <v>270</v>
      </c>
      <c r="F70" s="17">
        <v>54.28</v>
      </c>
      <c r="G70" s="17"/>
      <c r="H70" s="17">
        <f t="shared" si="24"/>
        <v>0</v>
      </c>
      <c r="I70" s="17">
        <f t="shared" si="25"/>
        <v>0</v>
      </c>
      <c r="J70" s="17">
        <f t="shared" si="26"/>
        <v>0</v>
      </c>
      <c r="K70" s="17">
        <v>0.00021</v>
      </c>
      <c r="L70" s="17">
        <f t="shared" si="27"/>
        <v>0.0113988</v>
      </c>
      <c r="M70" s="27" t="s">
        <v>7</v>
      </c>
      <c r="N70" s="17">
        <f t="shared" si="28"/>
        <v>0</v>
      </c>
      <c r="Y70" s="17">
        <f t="shared" si="29"/>
        <v>0</v>
      </c>
      <c r="Z70" s="17">
        <f t="shared" si="30"/>
        <v>0</v>
      </c>
      <c r="AA70" s="17">
        <f t="shared" si="31"/>
        <v>0</v>
      </c>
      <c r="AC70" s="31">
        <v>21</v>
      </c>
      <c r="AD70" s="31">
        <f>G70*0.562912087912088</f>
        <v>0</v>
      </c>
      <c r="AE70" s="31">
        <f>G70*(1-0.562912087912088)</f>
        <v>0</v>
      </c>
    </row>
    <row r="71" spans="1:31" ht="12.75">
      <c r="A71" s="5" t="s">
        <v>56</v>
      </c>
      <c r="B71" s="5"/>
      <c r="C71" s="5" t="s">
        <v>139</v>
      </c>
      <c r="D71" s="5" t="s">
        <v>234</v>
      </c>
      <c r="E71" s="5" t="s">
        <v>271</v>
      </c>
      <c r="F71" s="17">
        <v>16.2</v>
      </c>
      <c r="G71" s="17"/>
      <c r="H71" s="17">
        <f t="shared" si="24"/>
        <v>0</v>
      </c>
      <c r="I71" s="17">
        <f t="shared" si="25"/>
        <v>0</v>
      </c>
      <c r="J71" s="17">
        <f t="shared" si="26"/>
        <v>0</v>
      </c>
      <c r="K71" s="17">
        <v>0.00032</v>
      </c>
      <c r="L71" s="17">
        <f t="shared" si="27"/>
        <v>0.005184</v>
      </c>
      <c r="M71" s="27" t="s">
        <v>7</v>
      </c>
      <c r="N71" s="17">
        <f t="shared" si="28"/>
        <v>0</v>
      </c>
      <c r="Y71" s="17">
        <f t="shared" si="29"/>
        <v>0</v>
      </c>
      <c r="Z71" s="17">
        <f t="shared" si="30"/>
        <v>0</v>
      </c>
      <c r="AA71" s="17">
        <f t="shared" si="31"/>
        <v>0</v>
      </c>
      <c r="AC71" s="31">
        <v>21</v>
      </c>
      <c r="AD71" s="31">
        <f>G71*0.109252669039146</f>
        <v>0</v>
      </c>
      <c r="AE71" s="31">
        <f>G71*(1-0.109252669039146)</f>
        <v>0</v>
      </c>
    </row>
    <row r="72" spans="1:31" ht="12.75">
      <c r="A72" s="5" t="s">
        <v>57</v>
      </c>
      <c r="B72" s="5"/>
      <c r="C72" s="5" t="s">
        <v>140</v>
      </c>
      <c r="D72" s="5" t="s">
        <v>235</v>
      </c>
      <c r="E72" s="5" t="s">
        <v>271</v>
      </c>
      <c r="F72" s="17">
        <v>16.2</v>
      </c>
      <c r="G72" s="17"/>
      <c r="H72" s="17">
        <f t="shared" si="24"/>
        <v>0</v>
      </c>
      <c r="I72" s="17">
        <f t="shared" si="25"/>
        <v>0</v>
      </c>
      <c r="J72" s="17">
        <f t="shared" si="26"/>
        <v>0</v>
      </c>
      <c r="K72" s="17">
        <v>0</v>
      </c>
      <c r="L72" s="17">
        <f t="shared" si="27"/>
        <v>0</v>
      </c>
      <c r="M72" s="27" t="s">
        <v>7</v>
      </c>
      <c r="N72" s="17">
        <f t="shared" si="28"/>
        <v>0</v>
      </c>
      <c r="Y72" s="17">
        <f t="shared" si="29"/>
        <v>0</v>
      </c>
      <c r="Z72" s="17">
        <f t="shared" si="30"/>
        <v>0</v>
      </c>
      <c r="AA72" s="17">
        <f t="shared" si="31"/>
        <v>0</v>
      </c>
      <c r="AC72" s="31">
        <v>21</v>
      </c>
      <c r="AD72" s="31">
        <f>G72*0.0817496229260935</f>
        <v>0</v>
      </c>
      <c r="AE72" s="31">
        <f>G72*(1-0.0817496229260935)</f>
        <v>0</v>
      </c>
    </row>
    <row r="73" spans="1:31" ht="12.75">
      <c r="A73" s="5" t="s">
        <v>58</v>
      </c>
      <c r="B73" s="5"/>
      <c r="C73" s="5" t="s">
        <v>141</v>
      </c>
      <c r="D73" s="5" t="s">
        <v>236</v>
      </c>
      <c r="E73" s="5" t="s">
        <v>270</v>
      </c>
      <c r="F73" s="17">
        <v>54.28</v>
      </c>
      <c r="G73" s="17"/>
      <c r="H73" s="17">
        <f t="shared" si="24"/>
        <v>0</v>
      </c>
      <c r="I73" s="17">
        <f t="shared" si="25"/>
        <v>0</v>
      </c>
      <c r="J73" s="17">
        <f t="shared" si="26"/>
        <v>0</v>
      </c>
      <c r="K73" s="17">
        <v>0.00475</v>
      </c>
      <c r="L73" s="17">
        <f t="shared" si="27"/>
        <v>0.25783</v>
      </c>
      <c r="M73" s="27" t="s">
        <v>7</v>
      </c>
      <c r="N73" s="17">
        <f t="shared" si="28"/>
        <v>0</v>
      </c>
      <c r="Y73" s="17">
        <f t="shared" si="29"/>
        <v>0</v>
      </c>
      <c r="Z73" s="17">
        <f t="shared" si="30"/>
        <v>0</v>
      </c>
      <c r="AA73" s="17">
        <f t="shared" si="31"/>
        <v>0</v>
      </c>
      <c r="AC73" s="31">
        <v>21</v>
      </c>
      <c r="AD73" s="31">
        <f>G73*0.188031290743155</f>
        <v>0</v>
      </c>
      <c r="AE73" s="31">
        <f>G73*(1-0.188031290743155)</f>
        <v>0</v>
      </c>
    </row>
    <row r="74" spans="1:31" ht="12.75">
      <c r="A74" s="5" t="s">
        <v>59</v>
      </c>
      <c r="B74" s="5"/>
      <c r="C74" s="5" t="s">
        <v>142</v>
      </c>
      <c r="D74" s="5" t="s">
        <v>237</v>
      </c>
      <c r="E74" s="5" t="s">
        <v>271</v>
      </c>
      <c r="F74" s="17">
        <v>103</v>
      </c>
      <c r="G74" s="17"/>
      <c r="H74" s="17">
        <f t="shared" si="24"/>
        <v>0</v>
      </c>
      <c r="I74" s="17">
        <f t="shared" si="25"/>
        <v>0</v>
      </c>
      <c r="J74" s="17">
        <f t="shared" si="26"/>
        <v>0</v>
      </c>
      <c r="K74" s="17">
        <v>4E-05</v>
      </c>
      <c r="L74" s="17">
        <f t="shared" si="27"/>
        <v>0.00412</v>
      </c>
      <c r="M74" s="27" t="s">
        <v>7</v>
      </c>
      <c r="N74" s="17">
        <f t="shared" si="28"/>
        <v>0</v>
      </c>
      <c r="Y74" s="17">
        <f t="shared" si="29"/>
        <v>0</v>
      </c>
      <c r="Z74" s="17">
        <f t="shared" si="30"/>
        <v>0</v>
      </c>
      <c r="AA74" s="17">
        <f t="shared" si="31"/>
        <v>0</v>
      </c>
      <c r="AC74" s="31">
        <v>21</v>
      </c>
      <c r="AD74" s="31">
        <f>G74*0.247160883280757</f>
        <v>0</v>
      </c>
      <c r="AE74" s="31">
        <f>G74*(1-0.247160883280757)</f>
        <v>0</v>
      </c>
    </row>
    <row r="75" spans="1:36" ht="12.75">
      <c r="A75" s="6"/>
      <c r="B75" s="14"/>
      <c r="C75" s="14" t="s">
        <v>143</v>
      </c>
      <c r="D75" s="56" t="s">
        <v>238</v>
      </c>
      <c r="E75" s="57"/>
      <c r="F75" s="57"/>
      <c r="G75" s="57"/>
      <c r="H75" s="33">
        <f>SUM(H76:H77)</f>
        <v>0</v>
      </c>
      <c r="I75" s="33">
        <f>SUM(I76:I77)</f>
        <v>0</v>
      </c>
      <c r="J75" s="33">
        <f>H75+I75</f>
        <v>0</v>
      </c>
      <c r="K75" s="26"/>
      <c r="L75" s="33">
        <f>SUM(L76:L77)</f>
        <v>4.163694</v>
      </c>
      <c r="O75" s="33">
        <f>IF(P75="PR",J75,SUM(N76:N77))</f>
        <v>0</v>
      </c>
      <c r="P75" s="26" t="s">
        <v>294</v>
      </c>
      <c r="Q75" s="33">
        <f>IF(P75="HS",H75,0)</f>
        <v>0</v>
      </c>
      <c r="R75" s="33">
        <f>IF(P75="HS",I75-O75,0)</f>
        <v>0</v>
      </c>
      <c r="S75" s="33">
        <f>IF(P75="PS",H75,0)</f>
        <v>0</v>
      </c>
      <c r="T75" s="33">
        <f>IF(P75="PS",I75-O75,0)</f>
        <v>0</v>
      </c>
      <c r="U75" s="33">
        <f>IF(P75="MP",H75,0)</f>
        <v>0</v>
      </c>
      <c r="V75" s="33">
        <f>IF(P75="MP",I75-O75,0)</f>
        <v>0</v>
      </c>
      <c r="W75" s="33">
        <f>IF(P75="OM",H75,0)</f>
        <v>0</v>
      </c>
      <c r="X75" s="26"/>
      <c r="AH75" s="33">
        <f>SUM(Y76:Y77)</f>
        <v>0</v>
      </c>
      <c r="AI75" s="33">
        <f>SUM(Z76:Z77)</f>
        <v>0</v>
      </c>
      <c r="AJ75" s="33">
        <f>SUM(AA76:AA77)</f>
        <v>0</v>
      </c>
    </row>
    <row r="76" spans="1:31" ht="12.75">
      <c r="A76" s="7" t="s">
        <v>60</v>
      </c>
      <c r="B76" s="7"/>
      <c r="C76" s="7" t="s">
        <v>144</v>
      </c>
      <c r="D76" s="7" t="s">
        <v>239</v>
      </c>
      <c r="E76" s="7" t="s">
        <v>270</v>
      </c>
      <c r="F76" s="18">
        <v>250.14</v>
      </c>
      <c r="G76" s="18"/>
      <c r="H76" s="18">
        <f>ROUND(F76*AD76,2)</f>
        <v>0</v>
      </c>
      <c r="I76" s="18">
        <f>J76-H76</f>
        <v>0</v>
      </c>
      <c r="J76" s="18">
        <f>ROUND(F76*G76,2)</f>
        <v>0</v>
      </c>
      <c r="K76" s="18">
        <v>0.0126</v>
      </c>
      <c r="L76" s="18">
        <f>F76*K76</f>
        <v>3.151764</v>
      </c>
      <c r="M76" s="28" t="s">
        <v>290</v>
      </c>
      <c r="N76" s="18">
        <f>IF(M76="5",I76,0)</f>
        <v>0</v>
      </c>
      <c r="Y76" s="18">
        <f>IF(AC76=0,J76,0)</f>
        <v>0</v>
      </c>
      <c r="Z76" s="18">
        <f>IF(AC76=15,J76,0)</f>
        <v>0</v>
      </c>
      <c r="AA76" s="18">
        <f>IF(AC76=21,J76,0)</f>
        <v>0</v>
      </c>
      <c r="AC76" s="31">
        <v>21</v>
      </c>
      <c r="AD76" s="31">
        <f>G76*1</f>
        <v>0</v>
      </c>
      <c r="AE76" s="31">
        <f>G76*(1-1)</f>
        <v>0</v>
      </c>
    </row>
    <row r="77" spans="1:31" ht="12.75">
      <c r="A77" s="5" t="s">
        <v>61</v>
      </c>
      <c r="B77" s="5"/>
      <c r="C77" s="5" t="s">
        <v>145</v>
      </c>
      <c r="D77" s="5" t="s">
        <v>240</v>
      </c>
      <c r="E77" s="5" t="s">
        <v>270</v>
      </c>
      <c r="F77" s="17">
        <v>227.4</v>
      </c>
      <c r="G77" s="17"/>
      <c r="H77" s="17">
        <f>ROUND(F77*AD77,2)</f>
        <v>0</v>
      </c>
      <c r="I77" s="17">
        <f>J77-H77</f>
        <v>0</v>
      </c>
      <c r="J77" s="17">
        <f>ROUND(F77*G77,2)</f>
        <v>0</v>
      </c>
      <c r="K77" s="17">
        <v>0.00445</v>
      </c>
      <c r="L77" s="17">
        <f>F77*K77</f>
        <v>1.01193</v>
      </c>
      <c r="M77" s="27" t="s">
        <v>7</v>
      </c>
      <c r="N77" s="17">
        <f>IF(M77="5",I77,0)</f>
        <v>0</v>
      </c>
      <c r="Y77" s="17">
        <f>IF(AC77=0,J77,0)</f>
        <v>0</v>
      </c>
      <c r="Z77" s="17">
        <f>IF(AC77=15,J77,0)</f>
        <v>0</v>
      </c>
      <c r="AA77" s="17">
        <f>IF(AC77=21,J77,0)</f>
        <v>0</v>
      </c>
      <c r="AC77" s="31">
        <v>21</v>
      </c>
      <c r="AD77" s="31">
        <f>G77*0.161615894039735</f>
        <v>0</v>
      </c>
      <c r="AE77" s="31">
        <f>G77*(1-0.161615894039735)</f>
        <v>0</v>
      </c>
    </row>
    <row r="78" spans="1:36" ht="12.75">
      <c r="A78" s="6"/>
      <c r="B78" s="14"/>
      <c r="C78" s="14" t="s">
        <v>146</v>
      </c>
      <c r="D78" s="56" t="s">
        <v>241</v>
      </c>
      <c r="E78" s="57"/>
      <c r="F78" s="57"/>
      <c r="G78" s="57"/>
      <c r="H78" s="33">
        <f>SUM(H79:H80)</f>
        <v>0</v>
      </c>
      <c r="I78" s="33">
        <f>SUM(I79:I80)</f>
        <v>0</v>
      </c>
      <c r="J78" s="33">
        <f>H78+I78</f>
        <v>0</v>
      </c>
      <c r="K78" s="26"/>
      <c r="L78" s="33">
        <f>SUM(L79:L80)</f>
        <v>0.031591999999999995</v>
      </c>
      <c r="O78" s="33">
        <f>IF(P78="PR",J78,SUM(N79:N80))</f>
        <v>0</v>
      </c>
      <c r="P78" s="26" t="s">
        <v>294</v>
      </c>
      <c r="Q78" s="33">
        <f>IF(P78="HS",H78,0)</f>
        <v>0</v>
      </c>
      <c r="R78" s="33">
        <f>IF(P78="HS",I78-O78,0)</f>
        <v>0</v>
      </c>
      <c r="S78" s="33">
        <f>IF(P78="PS",H78,0)</f>
        <v>0</v>
      </c>
      <c r="T78" s="33">
        <f>IF(P78="PS",I78-O78,0)</f>
        <v>0</v>
      </c>
      <c r="U78" s="33">
        <f>IF(P78="MP",H78,0)</f>
        <v>0</v>
      </c>
      <c r="V78" s="33">
        <f>IF(P78="MP",I78-O78,0)</f>
        <v>0</v>
      </c>
      <c r="W78" s="33">
        <f>IF(P78="OM",H78,0)</f>
        <v>0</v>
      </c>
      <c r="X78" s="26"/>
      <c r="AH78" s="33">
        <f>SUM(Y79:Y80)</f>
        <v>0</v>
      </c>
      <c r="AI78" s="33">
        <f>SUM(Z79:Z80)</f>
        <v>0</v>
      </c>
      <c r="AJ78" s="33">
        <f>SUM(AA79:AA80)</f>
        <v>0</v>
      </c>
    </row>
    <row r="79" spans="1:31" ht="12.75">
      <c r="A79" s="5" t="s">
        <v>62</v>
      </c>
      <c r="B79" s="5"/>
      <c r="C79" s="5" t="s">
        <v>147</v>
      </c>
      <c r="D79" s="5" t="s">
        <v>242</v>
      </c>
      <c r="E79" s="5" t="s">
        <v>270</v>
      </c>
      <c r="F79" s="17">
        <v>143.6</v>
      </c>
      <c r="G79" s="17"/>
      <c r="H79" s="17">
        <f>ROUND(F79*AD79,2)</f>
        <v>0</v>
      </c>
      <c r="I79" s="17">
        <f>J79-H79</f>
        <v>0</v>
      </c>
      <c r="J79" s="17">
        <f>ROUND(F79*G79,2)</f>
        <v>0</v>
      </c>
      <c r="K79" s="17">
        <v>7E-05</v>
      </c>
      <c r="L79" s="17">
        <f>F79*K79</f>
        <v>0.010051999999999998</v>
      </c>
      <c r="M79" s="27" t="s">
        <v>7</v>
      </c>
      <c r="N79" s="17">
        <f>IF(M79="5",I79,0)</f>
        <v>0</v>
      </c>
      <c r="Y79" s="17">
        <f>IF(AC79=0,J79,0)</f>
        <v>0</v>
      </c>
      <c r="Z79" s="17">
        <f>IF(AC79=15,J79,0)</f>
        <v>0</v>
      </c>
      <c r="AA79" s="17">
        <f>IF(AC79=21,J79,0)</f>
        <v>0</v>
      </c>
      <c r="AC79" s="31">
        <v>21</v>
      </c>
      <c r="AD79" s="31">
        <f>G79*0.21984126984127</f>
        <v>0</v>
      </c>
      <c r="AE79" s="31">
        <f>G79*(1-0.21984126984127)</f>
        <v>0</v>
      </c>
    </row>
    <row r="80" spans="1:31" ht="12.75">
      <c r="A80" s="5" t="s">
        <v>63</v>
      </c>
      <c r="B80" s="5"/>
      <c r="C80" s="5" t="s">
        <v>148</v>
      </c>
      <c r="D80" s="5" t="s">
        <v>243</v>
      </c>
      <c r="E80" s="5" t="s">
        <v>270</v>
      </c>
      <c r="F80" s="17">
        <v>143.6</v>
      </c>
      <c r="G80" s="17"/>
      <c r="H80" s="17">
        <f>ROUND(F80*AD80,2)</f>
        <v>0</v>
      </c>
      <c r="I80" s="17">
        <f>J80-H80</f>
        <v>0</v>
      </c>
      <c r="J80" s="17">
        <f>ROUND(F80*G80,2)</f>
        <v>0</v>
      </c>
      <c r="K80" s="17">
        <v>0.00015</v>
      </c>
      <c r="L80" s="17">
        <f>F80*K80</f>
        <v>0.021539999999999997</v>
      </c>
      <c r="M80" s="27" t="s">
        <v>7</v>
      </c>
      <c r="N80" s="17">
        <f>IF(M80="5",I80,0)</f>
        <v>0</v>
      </c>
      <c r="Y80" s="17">
        <f>IF(AC80=0,J80,0)</f>
        <v>0</v>
      </c>
      <c r="Z80" s="17">
        <f>IF(AC80=15,J80,0)</f>
        <v>0</v>
      </c>
      <c r="AA80" s="17">
        <f>IF(AC80=21,J80,0)</f>
        <v>0</v>
      </c>
      <c r="AC80" s="31">
        <v>21</v>
      </c>
      <c r="AD80" s="31">
        <f>G80*0.106122448979592</f>
        <v>0</v>
      </c>
      <c r="AE80" s="31">
        <f>G80*(1-0.106122448979592)</f>
        <v>0</v>
      </c>
    </row>
    <row r="81" spans="1:36" ht="12.75">
      <c r="A81" s="6"/>
      <c r="B81" s="14"/>
      <c r="C81" s="14" t="s">
        <v>149</v>
      </c>
      <c r="D81" s="56" t="s">
        <v>244</v>
      </c>
      <c r="E81" s="57"/>
      <c r="F81" s="57"/>
      <c r="G81" s="57"/>
      <c r="H81" s="33">
        <f>SUM(H82:H88)</f>
        <v>0</v>
      </c>
      <c r="I81" s="33">
        <f>SUM(I82:I88)</f>
        <v>0</v>
      </c>
      <c r="J81" s="33">
        <f>H81+I81</f>
        <v>0</v>
      </c>
      <c r="K81" s="26"/>
      <c r="L81" s="33">
        <f>SUM(L82:L88)</f>
        <v>47.25217000000001</v>
      </c>
      <c r="O81" s="33">
        <f>IF(P81="PR",J81,SUM(N82:N88))</f>
        <v>0</v>
      </c>
      <c r="P81" s="26" t="s">
        <v>293</v>
      </c>
      <c r="Q81" s="33">
        <f>IF(P81="HS",H81,0)</f>
        <v>0</v>
      </c>
      <c r="R81" s="33">
        <f>IF(P81="HS",I81-O81,0)</f>
        <v>0</v>
      </c>
      <c r="S81" s="33">
        <f>IF(P81="PS",H81,0)</f>
        <v>0</v>
      </c>
      <c r="T81" s="33">
        <f>IF(P81="PS",I81-O81,0)</f>
        <v>0</v>
      </c>
      <c r="U81" s="33">
        <f>IF(P81="MP",H81,0)</f>
        <v>0</v>
      </c>
      <c r="V81" s="33">
        <f>IF(P81="MP",I81-O81,0)</f>
        <v>0</v>
      </c>
      <c r="W81" s="33">
        <f>IF(P81="OM",H81,0)</f>
        <v>0</v>
      </c>
      <c r="X81" s="26"/>
      <c r="AH81" s="33">
        <f>SUM(Y82:Y88)</f>
        <v>0</v>
      </c>
      <c r="AI81" s="33">
        <f>SUM(Z82:Z88)</f>
        <v>0</v>
      </c>
      <c r="AJ81" s="33">
        <f>SUM(AA82:AA88)</f>
        <v>0</v>
      </c>
    </row>
    <row r="82" spans="1:31" ht="12.75">
      <c r="A82" s="5" t="s">
        <v>64</v>
      </c>
      <c r="B82" s="5"/>
      <c r="C82" s="5" t="s">
        <v>150</v>
      </c>
      <c r="D82" s="5" t="s">
        <v>245</v>
      </c>
      <c r="E82" s="5" t="s">
        <v>270</v>
      </c>
      <c r="F82" s="17">
        <v>48.29</v>
      </c>
      <c r="G82" s="17"/>
      <c r="H82" s="17">
        <f aca="true" t="shared" si="32" ref="H82:H88">ROUND(F82*AD82,2)</f>
        <v>0</v>
      </c>
      <c r="I82" s="17">
        <f aca="true" t="shared" si="33" ref="I82:I88">J82-H82</f>
        <v>0</v>
      </c>
      <c r="J82" s="17">
        <f aca="true" t="shared" si="34" ref="J82:J88">ROUND(F82*G82,2)</f>
        <v>0</v>
      </c>
      <c r="K82" s="17">
        <v>0.131</v>
      </c>
      <c r="L82" s="17">
        <f aca="true" t="shared" si="35" ref="L82:L88">F82*K82</f>
        <v>6.32599</v>
      </c>
      <c r="M82" s="27" t="s">
        <v>7</v>
      </c>
      <c r="N82" s="17">
        <f aca="true" t="shared" si="36" ref="N82:N88">IF(M82="5",I82,0)</f>
        <v>0</v>
      </c>
      <c r="Y82" s="17">
        <f aca="true" t="shared" si="37" ref="Y82:Y88">IF(AC82=0,J82,0)</f>
        <v>0</v>
      </c>
      <c r="Z82" s="17">
        <f aca="true" t="shared" si="38" ref="Z82:Z88">IF(AC82=15,J82,0)</f>
        <v>0</v>
      </c>
      <c r="AA82" s="17">
        <f aca="true" t="shared" si="39" ref="AA82:AA88">IF(AC82=21,J82,0)</f>
        <v>0</v>
      </c>
      <c r="AC82" s="31">
        <v>21</v>
      </c>
      <c r="AD82" s="31">
        <f>G82*0.191535671100363</f>
        <v>0</v>
      </c>
      <c r="AE82" s="31">
        <f>G82*(1-0.191535671100363)</f>
        <v>0</v>
      </c>
    </row>
    <row r="83" spans="1:31" ht="12.75">
      <c r="A83" s="5" t="s">
        <v>65</v>
      </c>
      <c r="B83" s="5"/>
      <c r="C83" s="5" t="s">
        <v>151</v>
      </c>
      <c r="D83" s="5" t="s">
        <v>246</v>
      </c>
      <c r="E83" s="5" t="s">
        <v>270</v>
      </c>
      <c r="F83" s="17">
        <v>38.18</v>
      </c>
      <c r="G83" s="17"/>
      <c r="H83" s="17">
        <f t="shared" si="32"/>
        <v>0</v>
      </c>
      <c r="I83" s="17">
        <f t="shared" si="33"/>
        <v>0</v>
      </c>
      <c r="J83" s="17">
        <f t="shared" si="34"/>
        <v>0</v>
      </c>
      <c r="K83" s="17">
        <v>0.261</v>
      </c>
      <c r="L83" s="17">
        <f t="shared" si="35"/>
        <v>9.96498</v>
      </c>
      <c r="M83" s="27" t="s">
        <v>7</v>
      </c>
      <c r="N83" s="17">
        <f t="shared" si="36"/>
        <v>0</v>
      </c>
      <c r="Y83" s="17">
        <f t="shared" si="37"/>
        <v>0</v>
      </c>
      <c r="Z83" s="17">
        <f t="shared" si="38"/>
        <v>0</v>
      </c>
      <c r="AA83" s="17">
        <f t="shared" si="39"/>
        <v>0</v>
      </c>
      <c r="AC83" s="31">
        <v>21</v>
      </c>
      <c r="AD83" s="31">
        <f>G83*0.157611940298507</f>
        <v>0</v>
      </c>
      <c r="AE83" s="31">
        <f>G83*(1-0.157611940298507)</f>
        <v>0</v>
      </c>
    </row>
    <row r="84" spans="1:31" ht="12.75">
      <c r="A84" s="5" t="s">
        <v>66</v>
      </c>
      <c r="B84" s="5"/>
      <c r="C84" s="5" t="s">
        <v>152</v>
      </c>
      <c r="D84" s="5" t="s">
        <v>247</v>
      </c>
      <c r="E84" s="5" t="s">
        <v>272</v>
      </c>
      <c r="F84" s="17">
        <v>5.57</v>
      </c>
      <c r="G84" s="17"/>
      <c r="H84" s="17">
        <f t="shared" si="32"/>
        <v>0</v>
      </c>
      <c r="I84" s="17">
        <f t="shared" si="33"/>
        <v>0</v>
      </c>
      <c r="J84" s="17">
        <f t="shared" si="34"/>
        <v>0</v>
      </c>
      <c r="K84" s="17">
        <v>2.2</v>
      </c>
      <c r="L84" s="17">
        <f t="shared" si="35"/>
        <v>12.254000000000001</v>
      </c>
      <c r="M84" s="27" t="s">
        <v>7</v>
      </c>
      <c r="N84" s="17">
        <f t="shared" si="36"/>
        <v>0</v>
      </c>
      <c r="Y84" s="17">
        <f t="shared" si="37"/>
        <v>0</v>
      </c>
      <c r="Z84" s="17">
        <f t="shared" si="38"/>
        <v>0</v>
      </c>
      <c r="AA84" s="17">
        <f t="shared" si="39"/>
        <v>0</v>
      </c>
      <c r="AC84" s="31">
        <v>21</v>
      </c>
      <c r="AD84" s="31">
        <f>G84*0</f>
        <v>0</v>
      </c>
      <c r="AE84" s="31">
        <f>G84*(1-0)</f>
        <v>0</v>
      </c>
    </row>
    <row r="85" spans="1:31" ht="12.75">
      <c r="A85" s="5" t="s">
        <v>67</v>
      </c>
      <c r="B85" s="5"/>
      <c r="C85" s="5" t="s">
        <v>153</v>
      </c>
      <c r="D85" s="5" t="s">
        <v>248</v>
      </c>
      <c r="E85" s="5" t="s">
        <v>270</v>
      </c>
      <c r="F85" s="17">
        <v>54.28</v>
      </c>
      <c r="G85" s="17"/>
      <c r="H85" s="17">
        <f t="shared" si="32"/>
        <v>0</v>
      </c>
      <c r="I85" s="17">
        <f t="shared" si="33"/>
        <v>0</v>
      </c>
      <c r="J85" s="17">
        <f t="shared" si="34"/>
        <v>0</v>
      </c>
      <c r="K85" s="17">
        <v>0.02</v>
      </c>
      <c r="L85" s="17">
        <f t="shared" si="35"/>
        <v>1.0856000000000001</v>
      </c>
      <c r="M85" s="27" t="s">
        <v>7</v>
      </c>
      <c r="N85" s="17">
        <f t="shared" si="36"/>
        <v>0</v>
      </c>
      <c r="Y85" s="17">
        <f t="shared" si="37"/>
        <v>0</v>
      </c>
      <c r="Z85" s="17">
        <f t="shared" si="38"/>
        <v>0</v>
      </c>
      <c r="AA85" s="17">
        <f t="shared" si="39"/>
        <v>0</v>
      </c>
      <c r="AC85" s="31">
        <v>21</v>
      </c>
      <c r="AD85" s="31">
        <f>G85*0</f>
        <v>0</v>
      </c>
      <c r="AE85" s="31">
        <f>G85*(1-0)</f>
        <v>0</v>
      </c>
    </row>
    <row r="86" spans="1:31" ht="12.75">
      <c r="A86" s="5" t="s">
        <v>68</v>
      </c>
      <c r="B86" s="5"/>
      <c r="C86" s="5" t="s">
        <v>154</v>
      </c>
      <c r="D86" s="5" t="s">
        <v>249</v>
      </c>
      <c r="E86" s="5" t="s">
        <v>272</v>
      </c>
      <c r="F86" s="17">
        <v>10.98</v>
      </c>
      <c r="G86" s="17"/>
      <c r="H86" s="17">
        <f t="shared" si="32"/>
        <v>0</v>
      </c>
      <c r="I86" s="17">
        <f t="shared" si="33"/>
        <v>0</v>
      </c>
      <c r="J86" s="17">
        <f t="shared" si="34"/>
        <v>0</v>
      </c>
      <c r="K86" s="17">
        <v>1.4</v>
      </c>
      <c r="L86" s="17">
        <f t="shared" si="35"/>
        <v>15.372</v>
      </c>
      <c r="M86" s="27" t="s">
        <v>7</v>
      </c>
      <c r="N86" s="17">
        <f t="shared" si="36"/>
        <v>0</v>
      </c>
      <c r="Y86" s="17">
        <f t="shared" si="37"/>
        <v>0</v>
      </c>
      <c r="Z86" s="17">
        <f t="shared" si="38"/>
        <v>0</v>
      </c>
      <c r="AA86" s="17">
        <f t="shared" si="39"/>
        <v>0</v>
      </c>
      <c r="AC86" s="31">
        <v>21</v>
      </c>
      <c r="AD86" s="31">
        <f>G86*0</f>
        <v>0</v>
      </c>
      <c r="AE86" s="31">
        <f>G86*(1-0)</f>
        <v>0</v>
      </c>
    </row>
    <row r="87" spans="1:31" ht="12.75">
      <c r="A87" s="5" t="s">
        <v>69</v>
      </c>
      <c r="B87" s="5"/>
      <c r="C87" s="5" t="s">
        <v>155</v>
      </c>
      <c r="D87" s="5" t="s">
        <v>250</v>
      </c>
      <c r="E87" s="5" t="s">
        <v>274</v>
      </c>
      <c r="F87" s="17">
        <v>22</v>
      </c>
      <c r="G87" s="17"/>
      <c r="H87" s="17">
        <f t="shared" si="32"/>
        <v>0</v>
      </c>
      <c r="I87" s="17">
        <f t="shared" si="33"/>
        <v>0</v>
      </c>
      <c r="J87" s="17">
        <f t="shared" si="34"/>
        <v>0</v>
      </c>
      <c r="K87" s="17">
        <v>0</v>
      </c>
      <c r="L87" s="17">
        <f t="shared" si="35"/>
        <v>0</v>
      </c>
      <c r="M87" s="27" t="s">
        <v>7</v>
      </c>
      <c r="N87" s="17">
        <f t="shared" si="36"/>
        <v>0</v>
      </c>
      <c r="Y87" s="17">
        <f t="shared" si="37"/>
        <v>0</v>
      </c>
      <c r="Z87" s="17">
        <f t="shared" si="38"/>
        <v>0</v>
      </c>
      <c r="AA87" s="17">
        <f t="shared" si="39"/>
        <v>0</v>
      </c>
      <c r="AC87" s="31">
        <v>21</v>
      </c>
      <c r="AD87" s="31">
        <f>G87*0</f>
        <v>0</v>
      </c>
      <c r="AE87" s="31">
        <f>G87*(1-0)</f>
        <v>0</v>
      </c>
    </row>
    <row r="88" spans="1:31" ht="12.75">
      <c r="A88" s="5" t="s">
        <v>70</v>
      </c>
      <c r="B88" s="5"/>
      <c r="C88" s="5" t="s">
        <v>156</v>
      </c>
      <c r="D88" s="5" t="s">
        <v>251</v>
      </c>
      <c r="E88" s="5" t="s">
        <v>270</v>
      </c>
      <c r="F88" s="17">
        <v>29.6</v>
      </c>
      <c r="G88" s="17"/>
      <c r="H88" s="17">
        <f t="shared" si="32"/>
        <v>0</v>
      </c>
      <c r="I88" s="17">
        <f t="shared" si="33"/>
        <v>0</v>
      </c>
      <c r="J88" s="17">
        <f t="shared" si="34"/>
        <v>0</v>
      </c>
      <c r="K88" s="17">
        <v>0.076</v>
      </c>
      <c r="L88" s="17">
        <f t="shared" si="35"/>
        <v>2.2496</v>
      </c>
      <c r="M88" s="27" t="s">
        <v>7</v>
      </c>
      <c r="N88" s="17">
        <f t="shared" si="36"/>
        <v>0</v>
      </c>
      <c r="Y88" s="17">
        <f t="shared" si="37"/>
        <v>0</v>
      </c>
      <c r="Z88" s="17">
        <f t="shared" si="38"/>
        <v>0</v>
      </c>
      <c r="AA88" s="17">
        <f t="shared" si="39"/>
        <v>0</v>
      </c>
      <c r="AC88" s="31">
        <v>21</v>
      </c>
      <c r="AD88" s="31">
        <f>G88*0.110735586481113</f>
        <v>0</v>
      </c>
      <c r="AE88" s="31">
        <f>G88*(1-0.110735586481113)</f>
        <v>0</v>
      </c>
    </row>
    <row r="89" spans="1:36" ht="12.75">
      <c r="A89" s="6"/>
      <c r="B89" s="14"/>
      <c r="C89" s="14" t="s">
        <v>157</v>
      </c>
      <c r="D89" s="56" t="s">
        <v>252</v>
      </c>
      <c r="E89" s="57"/>
      <c r="F89" s="57"/>
      <c r="G89" s="57"/>
      <c r="H89" s="33">
        <f>SUM(H90:H92)</f>
        <v>0</v>
      </c>
      <c r="I89" s="33">
        <f>SUM(I90:I92)</f>
        <v>0</v>
      </c>
      <c r="J89" s="33">
        <f>H89+I89</f>
        <v>0</v>
      </c>
      <c r="K89" s="26"/>
      <c r="L89" s="33">
        <f>SUM(L90:L92)</f>
        <v>25.50352</v>
      </c>
      <c r="O89" s="33">
        <f>IF(P89="PR",J89,SUM(N90:N92))</f>
        <v>0</v>
      </c>
      <c r="P89" s="26" t="s">
        <v>293</v>
      </c>
      <c r="Q89" s="33">
        <f>IF(P89="HS",H89,0)</f>
        <v>0</v>
      </c>
      <c r="R89" s="33">
        <f>IF(P89="HS",I89-O89,0)</f>
        <v>0</v>
      </c>
      <c r="S89" s="33">
        <f>IF(P89="PS",H89,0)</f>
        <v>0</v>
      </c>
      <c r="T89" s="33">
        <f>IF(P89="PS",I89-O89,0)</f>
        <v>0</v>
      </c>
      <c r="U89" s="33">
        <f>IF(P89="MP",H89,0)</f>
        <v>0</v>
      </c>
      <c r="V89" s="33">
        <f>IF(P89="MP",I89-O89,0)</f>
        <v>0</v>
      </c>
      <c r="W89" s="33">
        <f>IF(P89="OM",H89,0)</f>
        <v>0</v>
      </c>
      <c r="X89" s="26"/>
      <c r="AH89" s="33">
        <f>SUM(Y90:Y92)</f>
        <v>0</v>
      </c>
      <c r="AI89" s="33">
        <f>SUM(Z90:Z92)</f>
        <v>0</v>
      </c>
      <c r="AJ89" s="33">
        <f>SUM(AA90:AA92)</f>
        <v>0</v>
      </c>
    </row>
    <row r="90" spans="1:31" ht="12.75">
      <c r="A90" s="5" t="s">
        <v>71</v>
      </c>
      <c r="B90" s="5"/>
      <c r="C90" s="5" t="s">
        <v>158</v>
      </c>
      <c r="D90" s="5" t="s">
        <v>253</v>
      </c>
      <c r="E90" s="5" t="s">
        <v>270</v>
      </c>
      <c r="F90" s="17">
        <v>54.28</v>
      </c>
      <c r="G90" s="17"/>
      <c r="H90" s="17">
        <f>ROUND(F90*AD90,2)</f>
        <v>0</v>
      </c>
      <c r="I90" s="17">
        <f>J90-H90</f>
        <v>0</v>
      </c>
      <c r="J90" s="17">
        <f>ROUND(F90*G90,2)</f>
        <v>0</v>
      </c>
      <c r="K90" s="17">
        <v>0.01</v>
      </c>
      <c r="L90" s="17">
        <f>F90*K90</f>
        <v>0.5428000000000001</v>
      </c>
      <c r="M90" s="27" t="s">
        <v>7</v>
      </c>
      <c r="N90" s="17">
        <f>IF(M90="5",I90,0)</f>
        <v>0</v>
      </c>
      <c r="Y90" s="17">
        <f>IF(AC90=0,J90,0)</f>
        <v>0</v>
      </c>
      <c r="Z90" s="17">
        <f>IF(AC90=15,J90,0)</f>
        <v>0</v>
      </c>
      <c r="AA90" s="17">
        <f>IF(AC90=21,J90,0)</f>
        <v>0</v>
      </c>
      <c r="AC90" s="31">
        <v>21</v>
      </c>
      <c r="AD90" s="31">
        <f>G90*0</f>
        <v>0</v>
      </c>
      <c r="AE90" s="31">
        <f>G90*(1-0)</f>
        <v>0</v>
      </c>
    </row>
    <row r="91" spans="1:31" ht="12.75">
      <c r="A91" s="5" t="s">
        <v>72</v>
      </c>
      <c r="B91" s="5"/>
      <c r="C91" s="5" t="s">
        <v>159</v>
      </c>
      <c r="D91" s="5" t="s">
        <v>254</v>
      </c>
      <c r="E91" s="5" t="s">
        <v>270</v>
      </c>
      <c r="F91" s="17">
        <v>329.4</v>
      </c>
      <c r="G91" s="17"/>
      <c r="H91" s="17">
        <f>ROUND(F91*AD91,2)</f>
        <v>0</v>
      </c>
      <c r="I91" s="17">
        <f>J91-H91</f>
        <v>0</v>
      </c>
      <c r="J91" s="17">
        <f>ROUND(F91*G91,2)</f>
        <v>0</v>
      </c>
      <c r="K91" s="17">
        <v>0.046</v>
      </c>
      <c r="L91" s="17">
        <f>F91*K91</f>
        <v>15.152399999999998</v>
      </c>
      <c r="M91" s="27" t="s">
        <v>7</v>
      </c>
      <c r="N91" s="17">
        <f>IF(M91="5",I91,0)</f>
        <v>0</v>
      </c>
      <c r="Y91" s="17">
        <f>IF(AC91=0,J91,0)</f>
        <v>0</v>
      </c>
      <c r="Z91" s="17">
        <f>IF(AC91=15,J91,0)</f>
        <v>0</v>
      </c>
      <c r="AA91" s="17">
        <f>IF(AC91=21,J91,0)</f>
        <v>0</v>
      </c>
      <c r="AC91" s="31">
        <v>21</v>
      </c>
      <c r="AD91" s="31">
        <f>G91*0</f>
        <v>0</v>
      </c>
      <c r="AE91" s="31">
        <f>G91*(1-0)</f>
        <v>0</v>
      </c>
    </row>
    <row r="92" spans="1:31" ht="12.75">
      <c r="A92" s="5" t="s">
        <v>73</v>
      </c>
      <c r="B92" s="5"/>
      <c r="C92" s="5" t="s">
        <v>160</v>
      </c>
      <c r="D92" s="5" t="s">
        <v>255</v>
      </c>
      <c r="E92" s="5" t="s">
        <v>270</v>
      </c>
      <c r="F92" s="17">
        <v>144.24</v>
      </c>
      <c r="G92" s="17"/>
      <c r="H92" s="17">
        <f>ROUND(F92*AD92,2)</f>
        <v>0</v>
      </c>
      <c r="I92" s="17">
        <f>J92-H92</f>
        <v>0</v>
      </c>
      <c r="J92" s="17">
        <f>ROUND(F92*G92,2)</f>
        <v>0</v>
      </c>
      <c r="K92" s="17">
        <v>0.068</v>
      </c>
      <c r="L92" s="17">
        <f>F92*K92</f>
        <v>9.808320000000002</v>
      </c>
      <c r="M92" s="27" t="s">
        <v>7</v>
      </c>
      <c r="N92" s="17">
        <f>IF(M92="5",I92,0)</f>
        <v>0</v>
      </c>
      <c r="Y92" s="17">
        <f>IF(AC92=0,J92,0)</f>
        <v>0</v>
      </c>
      <c r="Z92" s="17">
        <f>IF(AC92=15,J92,0)</f>
        <v>0</v>
      </c>
      <c r="AA92" s="17">
        <f>IF(AC92=21,J92,0)</f>
        <v>0</v>
      </c>
      <c r="AC92" s="31">
        <v>21</v>
      </c>
      <c r="AD92" s="31">
        <f>G92*0</f>
        <v>0</v>
      </c>
      <c r="AE92" s="31">
        <f>G92*(1-0)</f>
        <v>0</v>
      </c>
    </row>
    <row r="93" spans="1:36" ht="12.75">
      <c r="A93" s="6"/>
      <c r="B93" s="14"/>
      <c r="C93" s="14" t="s">
        <v>161</v>
      </c>
      <c r="D93" s="56" t="s">
        <v>256</v>
      </c>
      <c r="E93" s="57"/>
      <c r="F93" s="57"/>
      <c r="G93" s="57"/>
      <c r="H93" s="33">
        <f>SUM(H94:H101)</f>
        <v>0</v>
      </c>
      <c r="I93" s="33">
        <f>SUM(I94:I101)</f>
        <v>0</v>
      </c>
      <c r="J93" s="33">
        <f>H93+I93</f>
        <v>0</v>
      </c>
      <c r="K93" s="26"/>
      <c r="L93" s="33">
        <f>SUM(L94:L101)</f>
        <v>0</v>
      </c>
      <c r="O93" s="33">
        <f>IF(P93="PR",J93,SUM(N94:N101))</f>
        <v>0</v>
      </c>
      <c r="P93" s="26" t="s">
        <v>295</v>
      </c>
      <c r="Q93" s="33">
        <f>IF(P93="HS",H93,0)</f>
        <v>0</v>
      </c>
      <c r="R93" s="33">
        <f>IF(P93="HS",I93-O93,0)</f>
        <v>0</v>
      </c>
      <c r="S93" s="33">
        <f>IF(P93="PS",H93,0)</f>
        <v>0</v>
      </c>
      <c r="T93" s="33">
        <f>IF(P93="PS",I93-O93,0)</f>
        <v>0</v>
      </c>
      <c r="U93" s="33">
        <f>IF(P93="MP",H93,0)</f>
        <v>0</v>
      </c>
      <c r="V93" s="33">
        <f>IF(P93="MP",I93-O93,0)</f>
        <v>0</v>
      </c>
      <c r="W93" s="33">
        <f>IF(P93="OM",H93,0)</f>
        <v>0</v>
      </c>
      <c r="X93" s="26"/>
      <c r="AH93" s="33">
        <f>SUM(Y94:Y101)</f>
        <v>0</v>
      </c>
      <c r="AI93" s="33">
        <f>SUM(Z94:Z101)</f>
        <v>0</v>
      </c>
      <c r="AJ93" s="33">
        <f>SUM(AA94:AA101)</f>
        <v>0</v>
      </c>
    </row>
    <row r="94" spans="1:31" ht="12.75">
      <c r="A94" s="5" t="s">
        <v>74</v>
      </c>
      <c r="B94" s="5"/>
      <c r="C94" s="5" t="s">
        <v>162</v>
      </c>
      <c r="D94" s="5" t="s">
        <v>257</v>
      </c>
      <c r="E94" s="5" t="s">
        <v>273</v>
      </c>
      <c r="F94" s="17">
        <v>72.7557</v>
      </c>
      <c r="G94" s="17"/>
      <c r="H94" s="17">
        <f aca="true" t="shared" si="40" ref="H94:H101">ROUND(F94*AD94,2)</f>
        <v>0</v>
      </c>
      <c r="I94" s="17">
        <f aca="true" t="shared" si="41" ref="I94:I101">J94-H94</f>
        <v>0</v>
      </c>
      <c r="J94" s="17">
        <f aca="true" t="shared" si="42" ref="J94:J101">ROUND(F94*G94,2)</f>
        <v>0</v>
      </c>
      <c r="K94" s="17">
        <v>0</v>
      </c>
      <c r="L94" s="17">
        <f aca="true" t="shared" si="43" ref="L94:L101">F94*K94</f>
        <v>0</v>
      </c>
      <c r="M94" s="27" t="s">
        <v>11</v>
      </c>
      <c r="N94" s="17">
        <f aca="true" t="shared" si="44" ref="N94:N101">IF(M94="5",I94,0)</f>
        <v>0</v>
      </c>
      <c r="Y94" s="17">
        <f aca="true" t="shared" si="45" ref="Y94:Y101">IF(AC94=0,J94,0)</f>
        <v>0</v>
      </c>
      <c r="Z94" s="17">
        <f aca="true" t="shared" si="46" ref="Z94:Z101">IF(AC94=15,J94,0)</f>
        <v>0</v>
      </c>
      <c r="AA94" s="17">
        <f aca="true" t="shared" si="47" ref="AA94:AA101">IF(AC94=21,J94,0)</f>
        <v>0</v>
      </c>
      <c r="AC94" s="31">
        <v>21</v>
      </c>
      <c r="AD94" s="31">
        <f aca="true" t="shared" si="48" ref="AD94:AD101">G94*0</f>
        <v>0</v>
      </c>
      <c r="AE94" s="31">
        <f aca="true" t="shared" si="49" ref="AE94:AE101">G94*(1-0)</f>
        <v>0</v>
      </c>
    </row>
    <row r="95" spans="1:31" ht="12.75">
      <c r="A95" s="5" t="s">
        <v>75</v>
      </c>
      <c r="B95" s="5"/>
      <c r="C95" s="5" t="s">
        <v>163</v>
      </c>
      <c r="D95" s="5" t="s">
        <v>258</v>
      </c>
      <c r="E95" s="5" t="s">
        <v>273</v>
      </c>
      <c r="F95" s="17">
        <v>36.3779</v>
      </c>
      <c r="G95" s="17"/>
      <c r="H95" s="17">
        <f t="shared" si="40"/>
        <v>0</v>
      </c>
      <c r="I95" s="17">
        <f t="shared" si="41"/>
        <v>0</v>
      </c>
      <c r="J95" s="17">
        <f t="shared" si="42"/>
        <v>0</v>
      </c>
      <c r="K95" s="17">
        <v>0</v>
      </c>
      <c r="L95" s="17">
        <f t="shared" si="43"/>
        <v>0</v>
      </c>
      <c r="M95" s="27" t="s">
        <v>11</v>
      </c>
      <c r="N95" s="17">
        <f t="shared" si="44"/>
        <v>0</v>
      </c>
      <c r="Y95" s="17">
        <f t="shared" si="45"/>
        <v>0</v>
      </c>
      <c r="Z95" s="17">
        <f t="shared" si="46"/>
        <v>0</v>
      </c>
      <c r="AA95" s="17">
        <f t="shared" si="47"/>
        <v>0</v>
      </c>
      <c r="AC95" s="31">
        <v>21</v>
      </c>
      <c r="AD95" s="31">
        <f t="shared" si="48"/>
        <v>0</v>
      </c>
      <c r="AE95" s="31">
        <f t="shared" si="49"/>
        <v>0</v>
      </c>
    </row>
    <row r="96" spans="1:31" ht="12.75">
      <c r="A96" s="5" t="s">
        <v>76</v>
      </c>
      <c r="B96" s="5"/>
      <c r="C96" s="5" t="s">
        <v>164</v>
      </c>
      <c r="D96" s="5" t="s">
        <v>259</v>
      </c>
      <c r="E96" s="5" t="s">
        <v>273</v>
      </c>
      <c r="F96" s="17">
        <v>72.7557</v>
      </c>
      <c r="G96" s="17"/>
      <c r="H96" s="17">
        <f t="shared" si="40"/>
        <v>0</v>
      </c>
      <c r="I96" s="17">
        <f t="shared" si="41"/>
        <v>0</v>
      </c>
      <c r="J96" s="17">
        <f t="shared" si="42"/>
        <v>0</v>
      </c>
      <c r="K96" s="17">
        <v>0</v>
      </c>
      <c r="L96" s="17">
        <f t="shared" si="43"/>
        <v>0</v>
      </c>
      <c r="M96" s="27" t="s">
        <v>11</v>
      </c>
      <c r="N96" s="17">
        <f t="shared" si="44"/>
        <v>0</v>
      </c>
      <c r="Y96" s="17">
        <f t="shared" si="45"/>
        <v>0</v>
      </c>
      <c r="Z96" s="17">
        <f t="shared" si="46"/>
        <v>0</v>
      </c>
      <c r="AA96" s="17">
        <f t="shared" si="47"/>
        <v>0</v>
      </c>
      <c r="AC96" s="31">
        <v>21</v>
      </c>
      <c r="AD96" s="31">
        <f t="shared" si="48"/>
        <v>0</v>
      </c>
      <c r="AE96" s="31">
        <f t="shared" si="49"/>
        <v>0</v>
      </c>
    </row>
    <row r="97" spans="1:31" ht="12.75">
      <c r="A97" s="5" t="s">
        <v>77</v>
      </c>
      <c r="B97" s="5"/>
      <c r="C97" s="5" t="s">
        <v>165</v>
      </c>
      <c r="D97" s="5" t="s">
        <v>260</v>
      </c>
      <c r="E97" s="5" t="s">
        <v>273</v>
      </c>
      <c r="F97" s="17">
        <v>654.8013</v>
      </c>
      <c r="G97" s="17"/>
      <c r="H97" s="17">
        <f t="shared" si="40"/>
        <v>0</v>
      </c>
      <c r="I97" s="17">
        <f t="shared" si="41"/>
        <v>0</v>
      </c>
      <c r="J97" s="17">
        <f t="shared" si="42"/>
        <v>0</v>
      </c>
      <c r="K97" s="17">
        <v>0</v>
      </c>
      <c r="L97" s="17">
        <f t="shared" si="43"/>
        <v>0</v>
      </c>
      <c r="M97" s="27" t="s">
        <v>11</v>
      </c>
      <c r="N97" s="17">
        <f t="shared" si="44"/>
        <v>0</v>
      </c>
      <c r="Y97" s="17">
        <f t="shared" si="45"/>
        <v>0</v>
      </c>
      <c r="Z97" s="17">
        <f t="shared" si="46"/>
        <v>0</v>
      </c>
      <c r="AA97" s="17">
        <f t="shared" si="47"/>
        <v>0</v>
      </c>
      <c r="AC97" s="31">
        <v>21</v>
      </c>
      <c r="AD97" s="31">
        <f t="shared" si="48"/>
        <v>0</v>
      </c>
      <c r="AE97" s="31">
        <f t="shared" si="49"/>
        <v>0</v>
      </c>
    </row>
    <row r="98" spans="1:31" ht="12.75">
      <c r="A98" s="5" t="s">
        <v>78</v>
      </c>
      <c r="B98" s="5"/>
      <c r="C98" s="5" t="s">
        <v>166</v>
      </c>
      <c r="D98" s="5" t="s">
        <v>261</v>
      </c>
      <c r="E98" s="5" t="s">
        <v>273</v>
      </c>
      <c r="F98" s="17">
        <v>72.7557</v>
      </c>
      <c r="G98" s="17"/>
      <c r="H98" s="17">
        <f t="shared" si="40"/>
        <v>0</v>
      </c>
      <c r="I98" s="17">
        <f t="shared" si="41"/>
        <v>0</v>
      </c>
      <c r="J98" s="17">
        <f t="shared" si="42"/>
        <v>0</v>
      </c>
      <c r="K98" s="17">
        <v>0</v>
      </c>
      <c r="L98" s="17">
        <f t="shared" si="43"/>
        <v>0</v>
      </c>
      <c r="M98" s="27" t="s">
        <v>11</v>
      </c>
      <c r="N98" s="17">
        <f t="shared" si="44"/>
        <v>0</v>
      </c>
      <c r="Y98" s="17">
        <f t="shared" si="45"/>
        <v>0</v>
      </c>
      <c r="Z98" s="17">
        <f t="shared" si="46"/>
        <v>0</v>
      </c>
      <c r="AA98" s="17">
        <f t="shared" si="47"/>
        <v>0</v>
      </c>
      <c r="AC98" s="31">
        <v>21</v>
      </c>
      <c r="AD98" s="31">
        <f t="shared" si="48"/>
        <v>0</v>
      </c>
      <c r="AE98" s="31">
        <f t="shared" si="49"/>
        <v>0</v>
      </c>
    </row>
    <row r="99" spans="1:31" ht="12.75">
      <c r="A99" s="5" t="s">
        <v>79</v>
      </c>
      <c r="B99" s="5"/>
      <c r="C99" s="5" t="s">
        <v>167</v>
      </c>
      <c r="D99" s="5" t="s">
        <v>262</v>
      </c>
      <c r="E99" s="5" t="s">
        <v>273</v>
      </c>
      <c r="F99" s="17">
        <v>291.0228</v>
      </c>
      <c r="G99" s="17"/>
      <c r="H99" s="17">
        <f t="shared" si="40"/>
        <v>0</v>
      </c>
      <c r="I99" s="17">
        <f t="shared" si="41"/>
        <v>0</v>
      </c>
      <c r="J99" s="17">
        <f t="shared" si="42"/>
        <v>0</v>
      </c>
      <c r="K99" s="17">
        <v>0</v>
      </c>
      <c r="L99" s="17">
        <f t="shared" si="43"/>
        <v>0</v>
      </c>
      <c r="M99" s="27" t="s">
        <v>11</v>
      </c>
      <c r="N99" s="17">
        <f t="shared" si="44"/>
        <v>0</v>
      </c>
      <c r="Y99" s="17">
        <f t="shared" si="45"/>
        <v>0</v>
      </c>
      <c r="Z99" s="17">
        <f t="shared" si="46"/>
        <v>0</v>
      </c>
      <c r="AA99" s="17">
        <f t="shared" si="47"/>
        <v>0</v>
      </c>
      <c r="AC99" s="31">
        <v>21</v>
      </c>
      <c r="AD99" s="31">
        <f t="shared" si="48"/>
        <v>0</v>
      </c>
      <c r="AE99" s="31">
        <f t="shared" si="49"/>
        <v>0</v>
      </c>
    </row>
    <row r="100" spans="1:31" ht="12.75">
      <c r="A100" s="5" t="s">
        <v>80</v>
      </c>
      <c r="B100" s="5"/>
      <c r="C100" s="5" t="s">
        <v>168</v>
      </c>
      <c r="D100" s="5" t="s">
        <v>263</v>
      </c>
      <c r="E100" s="5" t="s">
        <v>273</v>
      </c>
      <c r="F100" s="17">
        <v>72.7557</v>
      </c>
      <c r="G100" s="17"/>
      <c r="H100" s="17">
        <f t="shared" si="40"/>
        <v>0</v>
      </c>
      <c r="I100" s="17">
        <f t="shared" si="41"/>
        <v>0</v>
      </c>
      <c r="J100" s="17">
        <f t="shared" si="42"/>
        <v>0</v>
      </c>
      <c r="K100" s="17">
        <v>0</v>
      </c>
      <c r="L100" s="17">
        <f t="shared" si="43"/>
        <v>0</v>
      </c>
      <c r="M100" s="27" t="s">
        <v>11</v>
      </c>
      <c r="N100" s="17">
        <f t="shared" si="44"/>
        <v>0</v>
      </c>
      <c r="Y100" s="17">
        <f t="shared" si="45"/>
        <v>0</v>
      </c>
      <c r="Z100" s="17">
        <f t="shared" si="46"/>
        <v>0</v>
      </c>
      <c r="AA100" s="17">
        <f t="shared" si="47"/>
        <v>0</v>
      </c>
      <c r="AC100" s="31">
        <v>21</v>
      </c>
      <c r="AD100" s="31">
        <f t="shared" si="48"/>
        <v>0</v>
      </c>
      <c r="AE100" s="31">
        <f t="shared" si="49"/>
        <v>0</v>
      </c>
    </row>
    <row r="101" spans="1:31" ht="12.75">
      <c r="A101" s="8" t="s">
        <v>81</v>
      </c>
      <c r="B101" s="8"/>
      <c r="C101" s="8" t="s">
        <v>169</v>
      </c>
      <c r="D101" s="8" t="s">
        <v>264</v>
      </c>
      <c r="E101" s="8" t="s">
        <v>273</v>
      </c>
      <c r="F101" s="19">
        <v>72.7557</v>
      </c>
      <c r="G101" s="19"/>
      <c r="H101" s="19">
        <f t="shared" si="40"/>
        <v>0</v>
      </c>
      <c r="I101" s="19">
        <f t="shared" si="41"/>
        <v>0</v>
      </c>
      <c r="J101" s="19">
        <f t="shared" si="42"/>
        <v>0</v>
      </c>
      <c r="K101" s="19">
        <v>0</v>
      </c>
      <c r="L101" s="19">
        <f t="shared" si="43"/>
        <v>0</v>
      </c>
      <c r="M101" s="27" t="s">
        <v>11</v>
      </c>
      <c r="N101" s="17">
        <f t="shared" si="44"/>
        <v>0</v>
      </c>
      <c r="Y101" s="17">
        <f t="shared" si="45"/>
        <v>0</v>
      </c>
      <c r="Z101" s="17">
        <f t="shared" si="46"/>
        <v>0</v>
      </c>
      <c r="AA101" s="17">
        <f t="shared" si="47"/>
        <v>0</v>
      </c>
      <c r="AC101" s="31">
        <v>21</v>
      </c>
      <c r="AD101" s="31">
        <f t="shared" si="48"/>
        <v>0</v>
      </c>
      <c r="AE101" s="31">
        <f t="shared" si="49"/>
        <v>0</v>
      </c>
    </row>
    <row r="102" spans="1:27" ht="12.75">
      <c r="A102" s="9"/>
      <c r="B102" s="9"/>
      <c r="C102" s="9"/>
      <c r="D102" s="9"/>
      <c r="E102" s="9"/>
      <c r="F102" s="9"/>
      <c r="G102" s="9"/>
      <c r="H102" s="53" t="s">
        <v>281</v>
      </c>
      <c r="I102" s="58"/>
      <c r="J102" s="34">
        <f>J12+J15+J23+J27+J33+J40+J44+J58+J61+J67+J75+J78+J81+J89+J93</f>
        <v>0</v>
      </c>
      <c r="K102" s="9"/>
      <c r="L102" s="9"/>
      <c r="Y102" s="35">
        <f>SUM(Y13:Y101)</f>
        <v>0</v>
      </c>
      <c r="Z102" s="35">
        <f>SUM(Z13:Z101)</f>
        <v>0</v>
      </c>
      <c r="AA102" s="35">
        <f>SUM(AA13:AA101)</f>
        <v>0</v>
      </c>
    </row>
    <row r="103" ht="11.25" customHeight="1">
      <c r="A103" s="10" t="s">
        <v>82</v>
      </c>
    </row>
    <row r="104" spans="1:12" ht="409.5" customHeight="1" hidden="1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</sheetData>
  <mergeCells count="44">
    <mergeCell ref="E4:F5"/>
    <mergeCell ref="G4:H5"/>
    <mergeCell ref="A1:L1"/>
    <mergeCell ref="A2:C3"/>
    <mergeCell ref="D2:D3"/>
    <mergeCell ref="E2:F3"/>
    <mergeCell ref="G2:H3"/>
    <mergeCell ref="I2:I3"/>
    <mergeCell ref="J2:L3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5:G15"/>
    <mergeCell ref="D23:G23"/>
    <mergeCell ref="D27:G27"/>
    <mergeCell ref="D33:G33"/>
    <mergeCell ref="D40:G40"/>
    <mergeCell ref="D44:G44"/>
    <mergeCell ref="D58:G58"/>
    <mergeCell ref="D61:G61"/>
    <mergeCell ref="D67:G67"/>
    <mergeCell ref="D75:G75"/>
    <mergeCell ref="D78:G78"/>
    <mergeCell ref="A104:L104"/>
    <mergeCell ref="D81:G81"/>
    <mergeCell ref="D89:G89"/>
    <mergeCell ref="D93:G93"/>
    <mergeCell ref="H102:I102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3" t="s">
        <v>303</v>
      </c>
      <c r="B1" s="104"/>
      <c r="C1" s="104"/>
      <c r="D1" s="104"/>
      <c r="E1" s="104"/>
      <c r="F1" s="104"/>
      <c r="G1" s="104"/>
      <c r="H1" s="104"/>
      <c r="I1" s="104"/>
    </row>
    <row r="2" spans="1:10" ht="12.75">
      <c r="A2" s="72" t="s">
        <v>1</v>
      </c>
      <c r="B2" s="73"/>
      <c r="C2" s="74" t="s">
        <v>170</v>
      </c>
      <c r="D2" s="58"/>
      <c r="E2" s="77" t="s">
        <v>282</v>
      </c>
      <c r="F2" s="77"/>
      <c r="G2" s="73"/>
      <c r="H2" s="77" t="s">
        <v>343</v>
      </c>
      <c r="I2" s="105"/>
      <c r="J2" s="29"/>
    </row>
    <row r="3" spans="1:10" ht="12.75">
      <c r="A3" s="69"/>
      <c r="B3" s="55"/>
      <c r="C3" s="75"/>
      <c r="D3" s="75"/>
      <c r="E3" s="55"/>
      <c r="F3" s="55"/>
      <c r="G3" s="55"/>
      <c r="H3" s="55"/>
      <c r="I3" s="98"/>
      <c r="J3" s="29"/>
    </row>
    <row r="4" spans="1:10" ht="12.75">
      <c r="A4" s="65" t="s">
        <v>2</v>
      </c>
      <c r="B4" s="55"/>
      <c r="C4" s="54" t="s">
        <v>171</v>
      </c>
      <c r="D4" s="55"/>
      <c r="E4" s="54" t="s">
        <v>283</v>
      </c>
      <c r="F4" s="54"/>
      <c r="G4" s="55"/>
      <c r="H4" s="54" t="s">
        <v>343</v>
      </c>
      <c r="I4" s="97"/>
      <c r="J4" s="29"/>
    </row>
    <row r="5" spans="1:10" ht="12.75">
      <c r="A5" s="69"/>
      <c r="B5" s="55"/>
      <c r="C5" s="55"/>
      <c r="D5" s="55"/>
      <c r="E5" s="55"/>
      <c r="F5" s="55"/>
      <c r="G5" s="55"/>
      <c r="H5" s="55"/>
      <c r="I5" s="98"/>
      <c r="J5" s="29"/>
    </row>
    <row r="6" spans="1:10" ht="12.75">
      <c r="A6" s="65" t="s">
        <v>3</v>
      </c>
      <c r="B6" s="55"/>
      <c r="C6" s="54" t="s">
        <v>172</v>
      </c>
      <c r="D6" s="55"/>
      <c r="E6" s="54" t="s">
        <v>284</v>
      </c>
      <c r="F6" s="54"/>
      <c r="G6" s="55"/>
      <c r="H6" s="54" t="s">
        <v>343</v>
      </c>
      <c r="I6" s="97"/>
      <c r="J6" s="29"/>
    </row>
    <row r="7" spans="1:10" ht="12.75">
      <c r="A7" s="69"/>
      <c r="B7" s="55"/>
      <c r="C7" s="55"/>
      <c r="D7" s="55"/>
      <c r="E7" s="55"/>
      <c r="F7" s="55"/>
      <c r="G7" s="55"/>
      <c r="H7" s="55"/>
      <c r="I7" s="98"/>
      <c r="J7" s="29"/>
    </row>
    <row r="8" spans="1:10" ht="12.75">
      <c r="A8" s="65" t="s">
        <v>266</v>
      </c>
      <c r="B8" s="55"/>
      <c r="C8" s="67" t="s">
        <v>6</v>
      </c>
      <c r="D8" s="55"/>
      <c r="E8" s="54" t="s">
        <v>267</v>
      </c>
      <c r="F8" s="55"/>
      <c r="G8" s="55"/>
      <c r="H8" s="67" t="s">
        <v>344</v>
      </c>
      <c r="I8" s="97" t="s">
        <v>81</v>
      </c>
      <c r="J8" s="29"/>
    </row>
    <row r="9" spans="1:10" ht="12.75">
      <c r="A9" s="69"/>
      <c r="B9" s="55"/>
      <c r="C9" s="55"/>
      <c r="D9" s="55"/>
      <c r="E9" s="55"/>
      <c r="F9" s="55"/>
      <c r="G9" s="55"/>
      <c r="H9" s="55"/>
      <c r="I9" s="98"/>
      <c r="J9" s="29"/>
    </row>
    <row r="10" spans="1:10" ht="12.75">
      <c r="A10" s="65" t="s">
        <v>4</v>
      </c>
      <c r="B10" s="55"/>
      <c r="C10" s="54"/>
      <c r="D10" s="55"/>
      <c r="E10" s="54" t="s">
        <v>285</v>
      </c>
      <c r="F10" s="54" t="s">
        <v>287</v>
      </c>
      <c r="G10" s="55"/>
      <c r="H10" s="67" t="s">
        <v>345</v>
      </c>
      <c r="I10" s="101">
        <v>42158</v>
      </c>
      <c r="J10" s="29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2"/>
      <c r="J11" s="29"/>
    </row>
    <row r="12" spans="1:9" ht="23.25" customHeight="1">
      <c r="A12" s="93" t="s">
        <v>304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36" t="s">
        <v>305</v>
      </c>
      <c r="B13" s="95" t="s">
        <v>317</v>
      </c>
      <c r="C13" s="96"/>
      <c r="D13" s="36" t="s">
        <v>319</v>
      </c>
      <c r="E13" s="95" t="s">
        <v>328</v>
      </c>
      <c r="F13" s="96"/>
      <c r="G13" s="36" t="s">
        <v>329</v>
      </c>
      <c r="H13" s="95" t="s">
        <v>346</v>
      </c>
      <c r="I13" s="96"/>
      <c r="J13" s="29"/>
    </row>
    <row r="14" spans="1:10" ht="15" customHeight="1">
      <c r="A14" s="37" t="s">
        <v>306</v>
      </c>
      <c r="B14" s="42" t="s">
        <v>318</v>
      </c>
      <c r="C14" s="46">
        <f>SUM('Stavební rozpočet'!Q12:Q101)</f>
        <v>0</v>
      </c>
      <c r="D14" s="91" t="s">
        <v>320</v>
      </c>
      <c r="E14" s="92"/>
      <c r="F14" s="46">
        <v>0</v>
      </c>
      <c r="G14" s="91" t="s">
        <v>330</v>
      </c>
      <c r="H14" s="92"/>
      <c r="I14" s="46">
        <v>0</v>
      </c>
      <c r="J14" s="29"/>
    </row>
    <row r="15" spans="1:10" ht="15" customHeight="1">
      <c r="A15" s="38"/>
      <c r="B15" s="42" t="s">
        <v>286</v>
      </c>
      <c r="C15" s="46">
        <f>SUM('Stavební rozpočet'!R12:R101)</f>
        <v>0</v>
      </c>
      <c r="D15" s="91" t="s">
        <v>321</v>
      </c>
      <c r="E15" s="92"/>
      <c r="F15" s="46">
        <v>0</v>
      </c>
      <c r="G15" s="91" t="s">
        <v>331</v>
      </c>
      <c r="H15" s="92"/>
      <c r="I15" s="46">
        <v>0</v>
      </c>
      <c r="J15" s="29"/>
    </row>
    <row r="16" spans="1:10" ht="15" customHeight="1">
      <c r="A16" s="37" t="s">
        <v>307</v>
      </c>
      <c r="B16" s="42" t="s">
        <v>318</v>
      </c>
      <c r="C16" s="46">
        <f>SUM('Stavební rozpočet'!S12:S101)</f>
        <v>0</v>
      </c>
      <c r="D16" s="91" t="s">
        <v>322</v>
      </c>
      <c r="E16" s="92"/>
      <c r="F16" s="46">
        <v>0</v>
      </c>
      <c r="G16" s="91" t="s">
        <v>332</v>
      </c>
      <c r="H16" s="92"/>
      <c r="I16" s="46">
        <v>0</v>
      </c>
      <c r="J16" s="29"/>
    </row>
    <row r="17" spans="1:10" ht="15" customHeight="1">
      <c r="A17" s="38"/>
      <c r="B17" s="42" t="s">
        <v>286</v>
      </c>
      <c r="C17" s="46">
        <f>SUM('Stavební rozpočet'!T12:T101)</f>
        <v>0</v>
      </c>
      <c r="D17" s="91"/>
      <c r="E17" s="92"/>
      <c r="F17" s="47"/>
      <c r="G17" s="91" t="s">
        <v>333</v>
      </c>
      <c r="H17" s="92"/>
      <c r="I17" s="46">
        <v>0</v>
      </c>
      <c r="J17" s="29"/>
    </row>
    <row r="18" spans="1:10" ht="15" customHeight="1">
      <c r="A18" s="37" t="s">
        <v>308</v>
      </c>
      <c r="B18" s="42" t="s">
        <v>318</v>
      </c>
      <c r="C18" s="46">
        <f>SUM('Stavební rozpočet'!U12:U101)</f>
        <v>0</v>
      </c>
      <c r="D18" s="91"/>
      <c r="E18" s="92"/>
      <c r="F18" s="47"/>
      <c r="G18" s="91" t="s">
        <v>334</v>
      </c>
      <c r="H18" s="92"/>
      <c r="I18" s="46">
        <v>0</v>
      </c>
      <c r="J18" s="29"/>
    </row>
    <row r="19" spans="1:10" ht="15" customHeight="1">
      <c r="A19" s="38"/>
      <c r="B19" s="42" t="s">
        <v>286</v>
      </c>
      <c r="C19" s="46">
        <f>SUM('Stavební rozpočet'!V12:V101)</f>
        <v>0</v>
      </c>
      <c r="D19" s="91"/>
      <c r="E19" s="92"/>
      <c r="F19" s="47"/>
      <c r="G19" s="91" t="s">
        <v>335</v>
      </c>
      <c r="H19" s="92"/>
      <c r="I19" s="46">
        <v>0</v>
      </c>
      <c r="J19" s="29"/>
    </row>
    <row r="20" spans="1:10" ht="15" customHeight="1">
      <c r="A20" s="89" t="s">
        <v>309</v>
      </c>
      <c r="B20" s="90"/>
      <c r="C20" s="46">
        <f>SUM('Stavební rozpočet'!W12:W101)</f>
        <v>0</v>
      </c>
      <c r="D20" s="91"/>
      <c r="E20" s="92"/>
      <c r="F20" s="47"/>
      <c r="G20" s="91"/>
      <c r="H20" s="92"/>
      <c r="I20" s="47"/>
      <c r="J20" s="29"/>
    </row>
    <row r="21" spans="1:10" ht="15" customHeight="1">
      <c r="A21" s="89" t="s">
        <v>310</v>
      </c>
      <c r="B21" s="90"/>
      <c r="C21" s="46">
        <f>SUM('Stavební rozpočet'!O12:O101)</f>
        <v>0</v>
      </c>
      <c r="D21" s="91"/>
      <c r="E21" s="92"/>
      <c r="F21" s="47"/>
      <c r="G21" s="91"/>
      <c r="H21" s="92"/>
      <c r="I21" s="47"/>
      <c r="J21" s="29"/>
    </row>
    <row r="22" spans="1:10" ht="16.5" customHeight="1">
      <c r="A22" s="89" t="s">
        <v>311</v>
      </c>
      <c r="B22" s="90"/>
      <c r="C22" s="46">
        <f>SUM(C14:C21)</f>
        <v>0</v>
      </c>
      <c r="D22" s="89" t="s">
        <v>323</v>
      </c>
      <c r="E22" s="90"/>
      <c r="F22" s="46">
        <f>SUM(F14:F21)</f>
        <v>0</v>
      </c>
      <c r="G22" s="89" t="s">
        <v>336</v>
      </c>
      <c r="H22" s="90"/>
      <c r="I22" s="46">
        <f>SUM(I14:I21)</f>
        <v>0</v>
      </c>
      <c r="J22" s="29"/>
    </row>
    <row r="23" spans="1:10" ht="15" customHeight="1">
      <c r="A23" s="9"/>
      <c r="B23" s="9"/>
      <c r="C23" s="44"/>
      <c r="D23" s="89" t="s">
        <v>324</v>
      </c>
      <c r="E23" s="90"/>
      <c r="F23" s="48">
        <v>0</v>
      </c>
      <c r="G23" s="89" t="s">
        <v>337</v>
      </c>
      <c r="H23" s="90"/>
      <c r="I23" s="46">
        <v>0</v>
      </c>
      <c r="J23" s="29"/>
    </row>
    <row r="24" spans="4:9" ht="15" customHeight="1">
      <c r="D24" s="9"/>
      <c r="E24" s="9"/>
      <c r="F24" s="49"/>
      <c r="G24" s="89" t="s">
        <v>338</v>
      </c>
      <c r="H24" s="90"/>
      <c r="I24" s="51"/>
    </row>
    <row r="25" spans="6:10" ht="15" customHeight="1">
      <c r="F25" s="50"/>
      <c r="G25" s="89" t="s">
        <v>339</v>
      </c>
      <c r="H25" s="90"/>
      <c r="I25" s="46">
        <v>0</v>
      </c>
      <c r="J25" s="29"/>
    </row>
    <row r="26" spans="1:9" ht="12.75">
      <c r="A26" s="39"/>
      <c r="B26" s="39"/>
      <c r="C26" s="39"/>
      <c r="G26" s="9"/>
      <c r="H26" s="9"/>
      <c r="I26" s="9"/>
    </row>
    <row r="27" spans="1:9" ht="15" customHeight="1">
      <c r="A27" s="84" t="s">
        <v>312</v>
      </c>
      <c r="B27" s="85"/>
      <c r="C27" s="52">
        <f>SUM('Stavební rozpočet'!Y12:Y101)</f>
        <v>0</v>
      </c>
      <c r="D27" s="45"/>
      <c r="E27" s="39"/>
      <c r="F27" s="39"/>
      <c r="G27" s="39"/>
      <c r="H27" s="39"/>
      <c r="I27" s="39"/>
    </row>
    <row r="28" spans="1:10" ht="15" customHeight="1">
      <c r="A28" s="84" t="s">
        <v>313</v>
      </c>
      <c r="B28" s="85"/>
      <c r="C28" s="52">
        <f>SUM('Stavební rozpočet'!Z12:Z101)</f>
        <v>0</v>
      </c>
      <c r="D28" s="84" t="s">
        <v>325</v>
      </c>
      <c r="E28" s="85"/>
      <c r="F28" s="52">
        <f>ROUND(C28*(15/100),2)</f>
        <v>0</v>
      </c>
      <c r="G28" s="84" t="s">
        <v>340</v>
      </c>
      <c r="H28" s="85"/>
      <c r="I28" s="52">
        <f>SUM(C27:C29)</f>
        <v>0</v>
      </c>
      <c r="J28" s="29"/>
    </row>
    <row r="29" spans="1:10" ht="15" customHeight="1">
      <c r="A29" s="84" t="s">
        <v>314</v>
      </c>
      <c r="B29" s="85"/>
      <c r="C29" s="52">
        <f>SUM('Stavební rozpočet'!AA12:AA101)+(F22+I22+F23+I23+I24+I25)</f>
        <v>0</v>
      </c>
      <c r="D29" s="84" t="s">
        <v>326</v>
      </c>
      <c r="E29" s="85"/>
      <c r="F29" s="52">
        <f>ROUND(C29*(21/100),2)</f>
        <v>0</v>
      </c>
      <c r="G29" s="84" t="s">
        <v>341</v>
      </c>
      <c r="H29" s="85"/>
      <c r="I29" s="52">
        <f>SUM(F28:F29)+I28</f>
        <v>0</v>
      </c>
      <c r="J29" s="29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86" t="s">
        <v>315</v>
      </c>
      <c r="B31" s="87"/>
      <c r="C31" s="88"/>
      <c r="D31" s="86" t="s">
        <v>327</v>
      </c>
      <c r="E31" s="87"/>
      <c r="F31" s="88"/>
      <c r="G31" s="86" t="s">
        <v>342</v>
      </c>
      <c r="H31" s="87"/>
      <c r="I31" s="88"/>
      <c r="J31" s="30"/>
    </row>
    <row r="32" spans="1:10" ht="14.25" customHeight="1">
      <c r="A32" s="78"/>
      <c r="B32" s="79"/>
      <c r="C32" s="80"/>
      <c r="D32" s="78"/>
      <c r="E32" s="79"/>
      <c r="F32" s="80"/>
      <c r="G32" s="78"/>
      <c r="H32" s="79"/>
      <c r="I32" s="80"/>
      <c r="J32" s="30"/>
    </row>
    <row r="33" spans="1:10" ht="14.25" customHeight="1">
      <c r="A33" s="78"/>
      <c r="B33" s="79"/>
      <c r="C33" s="80"/>
      <c r="D33" s="78"/>
      <c r="E33" s="79"/>
      <c r="F33" s="80"/>
      <c r="G33" s="78"/>
      <c r="H33" s="79"/>
      <c r="I33" s="80"/>
      <c r="J33" s="30"/>
    </row>
    <row r="34" spans="1:10" ht="14.25" customHeight="1">
      <c r="A34" s="78"/>
      <c r="B34" s="79"/>
      <c r="C34" s="80"/>
      <c r="D34" s="78"/>
      <c r="E34" s="79"/>
      <c r="F34" s="80"/>
      <c r="G34" s="78"/>
      <c r="H34" s="79"/>
      <c r="I34" s="80"/>
      <c r="J34" s="30"/>
    </row>
    <row r="35" spans="1:10" ht="14.25" customHeight="1">
      <c r="A35" s="81" t="s">
        <v>316</v>
      </c>
      <c r="B35" s="82"/>
      <c r="C35" s="83"/>
      <c r="D35" s="81" t="s">
        <v>316</v>
      </c>
      <c r="E35" s="82"/>
      <c r="F35" s="83"/>
      <c r="G35" s="81" t="s">
        <v>316</v>
      </c>
      <c r="H35" s="82"/>
      <c r="I35" s="83"/>
      <c r="J35" s="30"/>
    </row>
    <row r="36" spans="1:9" ht="11.25" customHeight="1">
      <c r="A36" s="41" t="s">
        <v>82</v>
      </c>
      <c r="B36" s="43"/>
      <c r="C36" s="43"/>
      <c r="D36" s="43"/>
      <c r="E36" s="43"/>
      <c r="F36" s="43"/>
      <c r="G36" s="43"/>
      <c r="H36" s="43"/>
      <c r="I36" s="43"/>
    </row>
    <row r="37" spans="1:9" ht="409.5" customHeight="1" hidden="1">
      <c r="A37" s="54"/>
      <c r="B37" s="55"/>
      <c r="C37" s="55"/>
      <c r="D37" s="55"/>
      <c r="E37" s="55"/>
      <c r="F37" s="55"/>
      <c r="G37" s="55"/>
      <c r="H37" s="55"/>
      <c r="I37" s="55"/>
    </row>
  </sheetData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A6:B7"/>
    <mergeCell ref="C6:D7"/>
    <mergeCell ref="E6:E7"/>
    <mergeCell ref="F6:G7"/>
    <mergeCell ref="E8:E9"/>
    <mergeCell ref="F8:G9"/>
    <mergeCell ref="H4:H5"/>
    <mergeCell ref="I4:I5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created xsi:type="dcterms:W3CDTF">2015-06-11T11:36:57Z</dcterms:created>
  <dcterms:modified xsi:type="dcterms:W3CDTF">2015-06-11T11:38:42Z</dcterms:modified>
  <cp:category/>
  <cp:version/>
  <cp:contentType/>
  <cp:contentStatus/>
</cp:coreProperties>
</file>