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Stavební rozpočet" sheetId="1" r:id="rId1"/>
    <sheet name="Krycí list rozpočtu" sheetId="2" r:id="rId2"/>
  </sheets>
  <definedNames/>
  <calcPr calcId="152511"/>
</workbook>
</file>

<file path=xl/sharedStrings.xml><?xml version="1.0" encoding="utf-8"?>
<sst xmlns="http://schemas.openxmlformats.org/spreadsheetml/2006/main" count="699" uniqueCount="351">
  <si>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</si>
  <si>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</si>
  <si>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</si>
  <si>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</si>
  <si>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</si>
  <si>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</si>
  <si>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</si>
  <si>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</si>
  <si>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</si>
  <si>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</si>
  <si>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</si>
  <si>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</si>
  <si>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</si>
  <si>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</si>
  <si>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</si>
  <si>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</si>
  <si>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</si>
  <si>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</si>
  <si>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</si>
  <si>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</si>
  <si>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</si>
  <si>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</si>
  <si>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</si>
  <si>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</si>
  <si>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</si>
  <si>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</si>
  <si>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</si>
  <si>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</si>
  <si>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</si>
  <si>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</si>
  <si>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</si>
  <si>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</si>
  <si>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</si>
  <si>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</si>
  <si>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</si>
  <si>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</si>
  <si>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</si>
  <si>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</si>
  <si>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</si>
  <si>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</si>
  <si>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</si>
  <si>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</si>
  <si>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</si>
  <si>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</si>
  <si>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</si>
  <si>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</si>
  <si>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</si>
  <si>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</si>
  <si>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</si>
  <si>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</si>
  <si>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</si>
  <si>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</si>
  <si>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</si>
  <si>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</si>
  <si>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</si>
  <si>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</si>
  <si>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</si>
  <si>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</si>
  <si>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</si>
  <si>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</si>
  <si>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</si>
  <si>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</si>
  <si>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</si>
  <si>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</si>
  <si>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</si>
  <si>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</si>
  <si>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</si>
  <si>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</si>
  <si>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Poznámka:</t>
  </si>
  <si>
    <t>Objekt</t>
  </si>
  <si>
    <t>Kód</t>
  </si>
  <si>
    <t>342241161R00</t>
  </si>
  <si>
    <t>612403388RT1</t>
  </si>
  <si>
    <t>612471473R00</t>
  </si>
  <si>
    <t>612421615R00</t>
  </si>
  <si>
    <t>612471411R00</t>
  </si>
  <si>
    <t>612403384RT1</t>
  </si>
  <si>
    <t>610991111R00</t>
  </si>
  <si>
    <t>63</t>
  </si>
  <si>
    <t>632421120RT1</t>
  </si>
  <si>
    <t>64</t>
  </si>
  <si>
    <t>642944121RT2</t>
  </si>
  <si>
    <t>721</t>
  </si>
  <si>
    <t>721140806R00</t>
  </si>
  <si>
    <t>721176213R00</t>
  </si>
  <si>
    <t>721100000000</t>
  </si>
  <si>
    <t>998721101R00</t>
  </si>
  <si>
    <t>722</t>
  </si>
  <si>
    <t>722110000000</t>
  </si>
  <si>
    <t>725</t>
  </si>
  <si>
    <t>725110811R00</t>
  </si>
  <si>
    <t>725130816R00</t>
  </si>
  <si>
    <t>725013161R00</t>
  </si>
  <si>
    <t>725122231R00</t>
  </si>
  <si>
    <t>998725101R00</t>
  </si>
  <si>
    <t>733</t>
  </si>
  <si>
    <t>733110803R00</t>
  </si>
  <si>
    <t>735</t>
  </si>
  <si>
    <t>735151832R00</t>
  </si>
  <si>
    <t>735151100R00</t>
  </si>
  <si>
    <t>735159523R00</t>
  </si>
  <si>
    <t>998735101R00</t>
  </si>
  <si>
    <t>766</t>
  </si>
  <si>
    <t>766661112R00</t>
  </si>
  <si>
    <t>766670021R00</t>
  </si>
  <si>
    <t>998766101R00</t>
  </si>
  <si>
    <t>611617013</t>
  </si>
  <si>
    <t>54914597</t>
  </si>
  <si>
    <t>61162103</t>
  </si>
  <si>
    <t>771</t>
  </si>
  <si>
    <t>771101101R00</t>
  </si>
  <si>
    <t>771101210RT1</t>
  </si>
  <si>
    <t>771101115R00</t>
  </si>
  <si>
    <t>771575109RT1</t>
  </si>
  <si>
    <t>998771101R00</t>
  </si>
  <si>
    <t>59764203</t>
  </si>
  <si>
    <t>781</t>
  </si>
  <si>
    <t>781101111R00</t>
  </si>
  <si>
    <t>781101210RT1</t>
  </si>
  <si>
    <t>781475115RT1</t>
  </si>
  <si>
    <t>59781345</t>
  </si>
  <si>
    <t>998781101R00</t>
  </si>
  <si>
    <t>783</t>
  </si>
  <si>
    <t>783122610R00</t>
  </si>
  <si>
    <t>784</t>
  </si>
  <si>
    <t>784402801R00</t>
  </si>
  <si>
    <t>784111101R00</t>
  </si>
  <si>
    <t>784115212R00</t>
  </si>
  <si>
    <t>784011222RT2</t>
  </si>
  <si>
    <t>94</t>
  </si>
  <si>
    <t>941955003R00</t>
  </si>
  <si>
    <t>96</t>
  </si>
  <si>
    <t>968061125R00</t>
  </si>
  <si>
    <t>968072455R00</t>
  </si>
  <si>
    <t>965100032RAA</t>
  </si>
  <si>
    <t>962031113R00</t>
  </si>
  <si>
    <t>97</t>
  </si>
  <si>
    <t>978059531R00</t>
  </si>
  <si>
    <t>974031132R00</t>
  </si>
  <si>
    <t>H99</t>
  </si>
  <si>
    <t>999281145R00</t>
  </si>
  <si>
    <t>M21</t>
  </si>
  <si>
    <t>210800000000</t>
  </si>
  <si>
    <t>S</t>
  </si>
  <si>
    <t>979082111R00</t>
  </si>
  <si>
    <t>979011211R00</t>
  </si>
  <si>
    <t>979086213R00</t>
  </si>
  <si>
    <t>979081111RT2</t>
  </si>
  <si>
    <t>979081121R00</t>
  </si>
  <si>
    <t>979990101R00</t>
  </si>
  <si>
    <t>Česká Třebová</t>
  </si>
  <si>
    <t>Zkrácený popis</t>
  </si>
  <si>
    <t>Rozměry</t>
  </si>
  <si>
    <t>Stěny a příčky</t>
  </si>
  <si>
    <t>Příčky z cihel plných CP29  tl. 65 mm</t>
  </si>
  <si>
    <t>Úprava povrchů vnitřní</t>
  </si>
  <si>
    <t>Hrubá výplň rýh ve stěnách do 15x15cm maltou z SMS</t>
  </si>
  <si>
    <t>Úprava stěn stěrkováním</t>
  </si>
  <si>
    <t>Omítka vnitřní zdiva, MVC, hrubá zatřená</t>
  </si>
  <si>
    <t>Úprava vnitřních stěn aktivovaným štukem</t>
  </si>
  <si>
    <t>Hrubá výplň rýh ve stěnách do 7x7 cm maltou ze SMS</t>
  </si>
  <si>
    <t>Zakrývání výplní vnitřních otvorů</t>
  </si>
  <si>
    <t>Podlahy a podlahové konstrukce</t>
  </si>
  <si>
    <t>Potěr WEBER Saint-Gobain,ručně zpracovaný,tl.10 mm</t>
  </si>
  <si>
    <t>Výplně otvorů</t>
  </si>
  <si>
    <t>Osazení ocelových zárubní dodatečně do 2,5 m2, včetně dodávky zárubně  60x197x11 cm, zinkovaná</t>
  </si>
  <si>
    <t>Vnitřní kanalizace</t>
  </si>
  <si>
    <t>Demontáž potrubí litinového DN 200</t>
  </si>
  <si>
    <t>Potrubí KG odpadní svislé D 125 x 3,2 mm</t>
  </si>
  <si>
    <t>Úpravy vnitřní kanalizace</t>
  </si>
  <si>
    <t>Přesun hmot pro vnitřní kanalizaci, výšky do 6 m</t>
  </si>
  <si>
    <t>Vnitřní vodovod</t>
  </si>
  <si>
    <t>Úprava vodovodní instalace</t>
  </si>
  <si>
    <t>Zařizovací předměty</t>
  </si>
  <si>
    <t>Demontáž klozetů splachovacích</t>
  </si>
  <si>
    <t>Demontáž pisoárových stání - 6ks</t>
  </si>
  <si>
    <t>Klozet kombi LYRA Plus, nádrž s armat. odpad šikmý</t>
  </si>
  <si>
    <t>Pisoár Golem s radarovým splachovačem</t>
  </si>
  <si>
    <t>Přesun hmot pro zařizovací předměty, výšky do 6 m</t>
  </si>
  <si>
    <t>Rozvod potrubí</t>
  </si>
  <si>
    <t>Úprava přívodu k radiátoru</t>
  </si>
  <si>
    <t>Otopná tělesa</t>
  </si>
  <si>
    <t>Demontáž otopných těles panelových</t>
  </si>
  <si>
    <t>Radik  POZINK VK 22 600/600</t>
  </si>
  <si>
    <t>Montáž panel.těles 2řadých, s odvzduš.,1200 mm</t>
  </si>
  <si>
    <t>Přesun hmot pro otopná tělesa, výšky do 6 m</t>
  </si>
  <si>
    <t>Konstrukce truhlářské</t>
  </si>
  <si>
    <t>Montáž dveří do zárubně,otevíravých 1kř.do 0,8 m</t>
  </si>
  <si>
    <t>Montáž kliky a štítku</t>
  </si>
  <si>
    <t>Přesun hmot pro truhlářské konstr., výšky do 6 m</t>
  </si>
  <si>
    <t>Dveře vnitřní pozink 60x197 cm</t>
  </si>
  <si>
    <t>Dveřní kování</t>
  </si>
  <si>
    <t>Dveře vnitřní fóliované plné 1kř. 80x197 cm</t>
  </si>
  <si>
    <t>Podlahy z dlaždic</t>
  </si>
  <si>
    <t>Vysávání podlah prům.vysavačem pro pokládku dlažby</t>
  </si>
  <si>
    <t>Penetrace podkladu</t>
  </si>
  <si>
    <t>Vyrovnání podkladů samonivel. hmotou tl. do 10 mm</t>
  </si>
  <si>
    <t>Montáž podlah keram.,hladké, tmel, 30x30 cm</t>
  </si>
  <si>
    <t>Přesun hmot pro podlahy z dlaždic, výšky do 6 m</t>
  </si>
  <si>
    <t>Dlaždice, 30 x 30, sv. béžová, matný</t>
  </si>
  <si>
    <t>Obklady (keramické)</t>
  </si>
  <si>
    <t>Vyrovnání podkladu maltou ze SMS tl. do 7 mm</t>
  </si>
  <si>
    <t>Penetrace podkladu pod obklady</t>
  </si>
  <si>
    <t>Přesun hmot pro obklady keramické, výšky do 6 m</t>
  </si>
  <si>
    <t>Nátěry</t>
  </si>
  <si>
    <t>Nátěr stávající zárubně</t>
  </si>
  <si>
    <t>Malby</t>
  </si>
  <si>
    <t>Odstranění malby oškrábáním v místnosti H do 3,8 m</t>
  </si>
  <si>
    <t>Penetrace podkladu nátěrem</t>
  </si>
  <si>
    <t>Malba Remal standard, bílá, bez penetr.,2 x</t>
  </si>
  <si>
    <t>Zakrytí podlah</t>
  </si>
  <si>
    <t>Lešení a stavební výtahy</t>
  </si>
  <si>
    <t>Lešení lehké pomocné, výška podlahy do 2,5 m</t>
  </si>
  <si>
    <t>Bourání konstrukcí</t>
  </si>
  <si>
    <t>Vyvěšení dřevěných dveřních křídel pl. do 2 m2</t>
  </si>
  <si>
    <t>Vybourání kovových dveřních zárubní pl. do 2 m2</t>
  </si>
  <si>
    <t>Bourání dlažeb keramických</t>
  </si>
  <si>
    <t>Bourání příček z cihel pálených plných tl. 65 mm</t>
  </si>
  <si>
    <t>Prorážení otvorů a ostatní bourací práce</t>
  </si>
  <si>
    <t>Odsekání vnitřních obkladů stěn nad 2 m2</t>
  </si>
  <si>
    <t>Vysekání rýh ve zdi cihelné 5 x 7 cm</t>
  </si>
  <si>
    <t>Ostatní přesuny hmot</t>
  </si>
  <si>
    <t>Přesun hmot pro opravy a údržbu do v. 6 m, nošením</t>
  </si>
  <si>
    <t>Elektromontáže</t>
  </si>
  <si>
    <t>Úprava elektroinstalace</t>
  </si>
  <si>
    <t>Přesuny sutí</t>
  </si>
  <si>
    <t>Vnitrostaveništní doprava suti do 10 m</t>
  </si>
  <si>
    <t>Svislá doprava suti a vybour. hmot za 2.NP nošením</t>
  </si>
  <si>
    <t>Nakládání vybouraných hmot na dopravní prostředek</t>
  </si>
  <si>
    <t>Odvoz suti a vybour. hmot na skládku do 1 km</t>
  </si>
  <si>
    <t>Příplatek k odvozu za každý další 1 km</t>
  </si>
  <si>
    <t>Poplatek za sklád.suti-směs bet.a cihel do 30x30cm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</si>
  <si>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</si>
  <si>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</si>
  <si>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</si>
  <si>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</si>
  <si>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</si>
  <si>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</si>
  <si>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</si>
  <si>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</si>
  <si>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soub</t>
  </si>
  <si>
    <t>t</t>
  </si>
  <si>
    <t>soubor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</si>
  <si>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</si>
  <si>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</si>
  <si>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</si>
  <si>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</si>
  <si>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</si>
  <si>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</si>
  <si>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</si>
  <si>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</si>
  <si>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</si>
  <si>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</si>
  <si>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</si>
  <si>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</si>
  <si>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</si>
  <si>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</si>
  <si>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</si>
  <si>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</si>
  <si>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</si>
  <si>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</si>
  <si>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</si>
  <si>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</si>
  <si>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</si>
  <si>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</si>
  <si>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</si>
  <si>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</si>
  <si>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</si>
  <si>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64_</t>
  </si>
  <si>
    <t>721_</t>
  </si>
  <si>
    <t>722_</t>
  </si>
  <si>
    <t>725_</t>
  </si>
  <si>
    <t>733_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</si>
  <si>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</si>
  <si>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</si>
  <si>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</si>
  <si>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</si>
  <si>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</si>
  <si>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</si>
  <si>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</si>
  <si>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</si>
  <si>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</si>
  <si>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H99_</t>
  </si>
  <si>
    <t>M21_</t>
  </si>
  <si>
    <t>S_</t>
  </si>
  <si>
    <t>3_</t>
  </si>
  <si>
    <t>6_</t>
  </si>
  <si>
    <t>72_</t>
  </si>
  <si>
    <t>73_</t>
  </si>
  <si>
    <t>76_</t>
  </si>
  <si>
    <t>77_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</si>
  <si>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</si>
  <si>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</si>
  <si>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</si>
  <si>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</si>
  <si>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</si>
  <si>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</si>
  <si>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</si>
  <si>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</si>
  <si>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</si>
  <si>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</si>
  <si>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</si>
  <si>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</si>
  <si>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</si>
  <si>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</si>
  <si>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</si>
  <si>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</si>
  <si>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</si>
  <si>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</si>
  <si>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</si>
  <si>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</si>
  <si>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</si>
  <si>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</si>
  <si>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</si>
  <si>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</si>
  <si>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</si>
  <si>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</si>
  <si>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</si>
  <si>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</si>
  <si>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</si>
  <si>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</si>
  <si>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</si>
  <si>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</si>
  <si>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</si>
  <si>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</si>
  <si>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</si>
  <si>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</si>
  <si>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</si>
  <si>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</si>
  <si>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</si>
  <si>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</si>
  <si>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</si>
  <si>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</si>
  <si>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</si>
  <si>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</si>
  <si>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</si>
  <si>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</si>
  <si>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</si>
  <si>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</si>
  <si>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Martin Hlaváček</t>
  </si>
  <si>
    <t>62</t>
  </si>
  <si>
    <t>960211251R00</t>
  </si>
  <si>
    <t>Obkládačka 20x40</t>
  </si>
  <si>
    <t>Obklad vnitřní stěn keramický, do tmele, 20x40 cm</t>
  </si>
  <si>
    <t>Bourání konstrukcí zděných z cihel nebo kamene</t>
  </si>
  <si>
    <t>m3</t>
  </si>
  <si>
    <t>1,74</t>
  </si>
  <si>
    <t>1,8</t>
  </si>
  <si>
    <t>Základní škola</t>
  </si>
  <si>
    <t>16.06.2021</t>
  </si>
  <si>
    <t>Rekonstrukce sociálního zařízení chlapců 2. NP ZŠ Nádražní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</si>
</sst>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2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vertical="center"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49" fontId="8" fillId="2" borderId="4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vertical="center"/>
      <protection/>
    </xf>
    <xf numFmtId="49" fontId="3" fillId="0" borderId="8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8" fillId="2" borderId="4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4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0" fillId="3" borderId="18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49" fontId="12" fillId="0" borderId="18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1" fillId="3" borderId="23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49" fontId="12" fillId="0" borderId="16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vertical="center"/>
      <protection/>
    </xf>
    <xf numFmtId="49" fontId="12" fillId="0" borderId="31" xfId="0" applyNumberFormat="1" applyFont="1" applyFill="1" applyBorder="1" applyAlignment="1" applyProtection="1">
      <alignment vertical="center"/>
      <protection/>
    </xf>
    <xf numFmtId="0" fontId="12" fillId="0" borderId="28" xfId="0" applyNumberFormat="1" applyFont="1" applyFill="1" applyBorder="1" applyAlignment="1" applyProtection="1">
      <alignment vertical="center"/>
      <protection/>
    </xf>
    <xf numFmtId="0" fontId="12" fillId="0" borderId="32" xfId="0" applyNumberFormat="1" applyFont="1" applyFill="1" applyBorder="1" applyAlignment="1" applyProtection="1">
      <alignment vertical="center"/>
      <protection/>
    </xf>
    <xf numFmtId="49" fontId="11" fillId="3" borderId="33" xfId="0" applyNumberFormat="1" applyFont="1" applyFill="1" applyBorder="1" applyAlignment="1" applyProtection="1">
      <alignment vertical="center"/>
      <protection/>
    </xf>
    <xf numFmtId="0" fontId="11" fillId="3" borderId="34" xfId="0" applyNumberFormat="1" applyFont="1" applyFill="1" applyBorder="1" applyAlignment="1" applyProtection="1">
      <alignment vertical="center"/>
      <protection/>
    </xf>
    <xf numFmtId="49" fontId="12" fillId="0" borderId="35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12" fillId="0" borderId="36" xfId="0" applyNumberFormat="1" applyFont="1" applyFill="1" applyBorder="1" applyAlignment="1" applyProtection="1">
      <alignment vertical="center"/>
      <protection/>
    </xf>
    <xf numFmtId="49" fontId="11" fillId="0" borderId="33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6"/>
  <sheetViews>
    <sheetView tabSelected="1" workbookViewId="0" topLeftCell="A1">
      <pane ySplit="11" topLeftCell="A12" activePane="bottomLeft" state="frozen"/>
      <selection pane="bottomLeft" activeCell="D73" sqref="D72:D7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4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57421875" style="0" hidden="1" customWidth="1"/>
    <col min="14" max="47" width="12.140625" style="0" hidden="1" customWidth="1"/>
  </cols>
  <sheetData>
    <row r="1" spans="1:12" ht="72.9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74"/>
      <c r="C2" s="74"/>
      <c r="D2" s="75" t="s">
        <v>350</v>
      </c>
      <c r="E2" s="77" t="s">
        <v>232</v>
      </c>
      <c r="F2" s="74"/>
      <c r="G2" s="77" t="s">
        <v>6</v>
      </c>
      <c r="H2" s="74"/>
      <c r="I2" s="78" t="s">
        <v>249</v>
      </c>
      <c r="J2" s="78" t="s">
        <v>6</v>
      </c>
      <c r="K2" s="74"/>
      <c r="L2" s="74"/>
      <c r="M2" s="1"/>
    </row>
    <row r="3" spans="1:13" ht="12.75">
      <c r="A3" s="70"/>
      <c r="B3" s="65"/>
      <c r="C3" s="65"/>
      <c r="D3" s="76"/>
      <c r="E3" s="65"/>
      <c r="F3" s="65"/>
      <c r="G3" s="65"/>
      <c r="H3" s="65"/>
      <c r="I3" s="65"/>
      <c r="J3" s="65"/>
      <c r="K3" s="65"/>
      <c r="L3" s="65"/>
      <c r="M3" s="1"/>
    </row>
    <row r="4" spans="1:13" ht="12.75">
      <c r="A4" s="66" t="s">
        <v>2</v>
      </c>
      <c r="B4" s="65"/>
      <c r="C4" s="65"/>
      <c r="D4" s="64" t="s">
        <v>348</v>
      </c>
      <c r="E4" s="69" t="s">
        <v>233</v>
      </c>
      <c r="F4" s="65"/>
      <c r="G4" s="69" t="s">
        <v>6</v>
      </c>
      <c r="H4" s="65"/>
      <c r="I4" s="64" t="s">
        <v>250</v>
      </c>
      <c r="J4" s="64" t="s">
        <v>6</v>
      </c>
      <c r="K4" s="65"/>
      <c r="L4" s="65"/>
      <c r="M4" s="1"/>
    </row>
    <row r="5" spans="1:13" ht="12.75">
      <c r="A5" s="70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"/>
    </row>
    <row r="6" spans="1:13" ht="12.75">
      <c r="A6" s="66" t="s">
        <v>3</v>
      </c>
      <c r="B6" s="65"/>
      <c r="C6" s="65"/>
      <c r="D6" s="64" t="s">
        <v>150</v>
      </c>
      <c r="E6" s="69" t="s">
        <v>234</v>
      </c>
      <c r="F6" s="65"/>
      <c r="G6" s="69" t="s">
        <v>6</v>
      </c>
      <c r="H6" s="65"/>
      <c r="I6" s="64" t="s">
        <v>251</v>
      </c>
      <c r="J6" s="64"/>
      <c r="K6" s="65"/>
      <c r="L6" s="65"/>
      <c r="M6" s="1"/>
    </row>
    <row r="7" spans="1:13" ht="12.75">
      <c r="A7" s="70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"/>
    </row>
    <row r="8" spans="1:13" ht="12.75">
      <c r="A8" s="66" t="s">
        <v>4</v>
      </c>
      <c r="B8" s="65"/>
      <c r="C8" s="65"/>
      <c r="D8" s="64" t="s">
        <v>6</v>
      </c>
      <c r="E8" s="69" t="s">
        <v>235</v>
      </c>
      <c r="F8" s="65"/>
      <c r="G8" s="69" t="s">
        <v>349</v>
      </c>
      <c r="H8" s="65"/>
      <c r="I8" s="64" t="s">
        <v>252</v>
      </c>
      <c r="J8" s="64" t="s">
        <v>339</v>
      </c>
      <c r="K8" s="65"/>
      <c r="L8" s="65"/>
      <c r="M8" s="1"/>
    </row>
    <row r="9" spans="1:13" ht="12.7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</row>
    <row r="10" spans="1:13" ht="12.75">
      <c r="A10" s="2" t="s">
        <v>5</v>
      </c>
      <c r="B10" s="11" t="s">
        <v>69</v>
      </c>
      <c r="C10" s="11" t="s">
        <v>70</v>
      </c>
      <c r="D10" s="11" t="s">
        <v>151</v>
      </c>
      <c r="E10" s="11" t="s">
        <v>236</v>
      </c>
      <c r="F10" s="16" t="s">
        <v>243</v>
      </c>
      <c r="G10" s="20" t="s">
        <v>244</v>
      </c>
      <c r="H10" s="59" t="s">
        <v>246</v>
      </c>
      <c r="I10" s="60"/>
      <c r="J10" s="61"/>
      <c r="K10" s="59" t="s">
        <v>255</v>
      </c>
      <c r="L10" s="61"/>
      <c r="M10" s="31"/>
    </row>
    <row r="11" spans="1:23" ht="12.75">
      <c r="A11" s="3" t="s">
        <v>6</v>
      </c>
      <c r="B11" s="12" t="s">
        <v>6</v>
      </c>
      <c r="C11" s="12" t="s">
        <v>6</v>
      </c>
      <c r="D11" s="15" t="s">
        <v>152</v>
      </c>
      <c r="E11" s="12" t="s">
        <v>6</v>
      </c>
      <c r="F11" s="12" t="s">
        <v>6</v>
      </c>
      <c r="G11" s="21" t="s">
        <v>245</v>
      </c>
      <c r="H11" s="22" t="s">
        <v>247</v>
      </c>
      <c r="I11" s="23" t="s">
        <v>253</v>
      </c>
      <c r="J11" s="24" t="s">
        <v>254</v>
      </c>
      <c r="K11" s="22" t="s">
        <v>244</v>
      </c>
      <c r="L11" s="24" t="s">
        <v>254</v>
      </c>
      <c r="M11" s="31"/>
      <c r="O11" s="26" t="s">
        <v>256</v>
      </c>
      <c r="P11" s="26" t="s">
        <v>257</v>
      </c>
      <c r="Q11" s="26" t="s">
        <v>258</v>
      </c>
      <c r="R11" s="26" t="s">
        <v>259</v>
      </c>
      <c r="S11" s="26" t="s">
        <v>260</v>
      </c>
      <c r="T11" s="26" t="s">
        <v>261</v>
      </c>
      <c r="U11" s="26" t="s">
        <v>262</v>
      </c>
      <c r="V11" s="26" t="s">
        <v>263</v>
      </c>
      <c r="W11" s="26" t="s">
        <v>264</v>
      </c>
    </row>
    <row r="12" spans="1:36" ht="12.75">
      <c r="A12" s="4"/>
      <c r="B12" s="13"/>
      <c r="C12" s="13" t="s">
        <v>40</v>
      </c>
      <c r="D12" s="13" t="s">
        <v>153</v>
      </c>
      <c r="E12" s="4" t="s">
        <v>6</v>
      </c>
      <c r="F12" s="4" t="s">
        <v>6</v>
      </c>
      <c r="G12" s="4" t="s">
        <v>6</v>
      </c>
      <c r="H12" s="34">
        <f>SUM(H13:H13)</f>
        <v>0</v>
      </c>
      <c r="I12" s="34">
        <f>SUM(I13:I13)</f>
        <v>0</v>
      </c>
      <c r="J12" s="34">
        <f>H12+I12</f>
        <v>0</v>
      </c>
      <c r="K12" s="25"/>
      <c r="L12" s="34">
        <f>SUM(L13:L13)</f>
        <v>0.38445</v>
      </c>
      <c r="X12" s="26"/>
      <c r="AH12" s="35">
        <f>SUM(Y13:Y13)</f>
        <v>0</v>
      </c>
      <c r="AI12" s="35">
        <f>SUM(Z13:Z13)</f>
        <v>0</v>
      </c>
      <c r="AJ12" s="35">
        <f>SUM(AA13:AA13)</f>
        <v>0</v>
      </c>
    </row>
    <row r="13" spans="1:47" ht="12.75">
      <c r="A13" s="5" t="s">
        <v>7</v>
      </c>
      <c r="B13" s="5"/>
      <c r="C13" s="5" t="s">
        <v>71</v>
      </c>
      <c r="D13" s="5" t="s">
        <v>154</v>
      </c>
      <c r="E13" s="5" t="s">
        <v>237</v>
      </c>
      <c r="F13" s="17">
        <v>3.3</v>
      </c>
      <c r="G13" s="17"/>
      <c r="H13" s="17">
        <f>F13*AD13</f>
        <v>0</v>
      </c>
      <c r="I13" s="17">
        <f>J13-H13</f>
        <v>0</v>
      </c>
      <c r="J13" s="17">
        <f>F13*G13</f>
        <v>0</v>
      </c>
      <c r="K13" s="17">
        <v>0.1165</v>
      </c>
      <c r="L13" s="17">
        <f>F13*K13</f>
        <v>0.38445</v>
      </c>
      <c r="O13" s="32">
        <f>IF(AF13="5",J13,0)</f>
        <v>0</v>
      </c>
      <c r="Q13" s="32">
        <f>IF(AF13="1",H13,0)</f>
        <v>0</v>
      </c>
      <c r="R13" s="32">
        <f>IF(AF13="1",I13,0)</f>
        <v>0</v>
      </c>
      <c r="S13" s="32">
        <f>IF(AF13="7",H13,0)</f>
        <v>0</v>
      </c>
      <c r="T13" s="32">
        <f>IF(AF13="7",I13,0)</f>
        <v>0</v>
      </c>
      <c r="U13" s="32">
        <f>IF(AF13="2",H13,0)</f>
        <v>0</v>
      </c>
      <c r="V13" s="32">
        <f>IF(AF13="2",I13,0)</f>
        <v>0</v>
      </c>
      <c r="W13" s="32">
        <f>IF(AF13="0",J13,0)</f>
        <v>0</v>
      </c>
      <c r="X13" s="26"/>
      <c r="Y13" s="17">
        <f>IF(AC13=0,J13,0)</f>
        <v>0</v>
      </c>
      <c r="Z13" s="17">
        <f>IF(AC13=15,J13,0)</f>
        <v>0</v>
      </c>
      <c r="AA13" s="17">
        <f>IF(AC13=21,J13,0)</f>
        <v>0</v>
      </c>
      <c r="AC13" s="32">
        <v>21</v>
      </c>
      <c r="AD13" s="32">
        <f>G13*0.449387755102041</f>
        <v>0</v>
      </c>
      <c r="AE13" s="32">
        <f>G13*(1-0.449387755102041)</f>
        <v>0</v>
      </c>
      <c r="AF13" s="29" t="s">
        <v>7</v>
      </c>
      <c r="AL13" s="32">
        <f>F13*AD13</f>
        <v>0</v>
      </c>
      <c r="AM13" s="32">
        <f>F13*AE13</f>
        <v>0</v>
      </c>
      <c r="AN13" s="33" t="s">
        <v>265</v>
      </c>
      <c r="AO13" s="33" t="s">
        <v>285</v>
      </c>
      <c r="AP13" s="26" t="s">
        <v>293</v>
      </c>
      <c r="AR13" s="32">
        <f>AL13+AM13</f>
        <v>0</v>
      </c>
      <c r="AS13" s="32">
        <f>G13/(100-AT13)*100</f>
        <v>0</v>
      </c>
      <c r="AT13" s="32">
        <v>0</v>
      </c>
      <c r="AU13" s="32">
        <f>L13</f>
        <v>0.38445</v>
      </c>
    </row>
    <row r="14" spans="1:36" ht="12.75">
      <c r="A14" s="6"/>
      <c r="B14" s="14"/>
      <c r="C14" s="14" t="s">
        <v>67</v>
      </c>
      <c r="D14" s="14" t="s">
        <v>155</v>
      </c>
      <c r="E14" s="6" t="s">
        <v>6</v>
      </c>
      <c r="F14" s="6" t="s">
        <v>6</v>
      </c>
      <c r="G14" s="6" t="s">
        <v>6</v>
      </c>
      <c r="H14" s="35">
        <f>SUM(H15:H20)</f>
        <v>0</v>
      </c>
      <c r="I14" s="35">
        <f>SUM(I15:I20)</f>
        <v>0</v>
      </c>
      <c r="J14" s="35">
        <f>H14+I14</f>
        <v>0</v>
      </c>
      <c r="K14" s="26"/>
      <c r="L14" s="35">
        <f>SUM(L15:L20)</f>
        <v>1.127754</v>
      </c>
      <c r="X14" s="26"/>
      <c r="AH14" s="35">
        <f>SUM(Y15:Y20)</f>
        <v>0</v>
      </c>
      <c r="AI14" s="35">
        <f>SUM(Z15:Z20)</f>
        <v>0</v>
      </c>
      <c r="AJ14" s="35">
        <f>SUM(AA15:AA20)</f>
        <v>0</v>
      </c>
    </row>
    <row r="15" spans="1:47" ht="12.75">
      <c r="A15" s="5" t="s">
        <v>8</v>
      </c>
      <c r="B15" s="5"/>
      <c r="C15" s="5" t="s">
        <v>72</v>
      </c>
      <c r="D15" s="5" t="s">
        <v>156</v>
      </c>
      <c r="E15" s="5" t="s">
        <v>238</v>
      </c>
      <c r="F15" s="17">
        <v>10.5</v>
      </c>
      <c r="G15" s="17"/>
      <c r="H15" s="17">
        <f aca="true" t="shared" si="0" ref="H15:H20">F15*AD15</f>
        <v>0</v>
      </c>
      <c r="I15" s="17">
        <f aca="true" t="shared" si="1" ref="I15:I20">J15-H15</f>
        <v>0</v>
      </c>
      <c r="J15" s="17">
        <f aca="true" t="shared" si="2" ref="J15:J20">F15*G15</f>
        <v>0</v>
      </c>
      <c r="K15" s="17">
        <v>0.03713</v>
      </c>
      <c r="L15" s="17">
        <f aca="true" t="shared" si="3" ref="L15:L20">F15*K15</f>
        <v>0.389865</v>
      </c>
      <c r="O15" s="32">
        <f aca="true" t="shared" si="4" ref="O15:O20">IF(AF15="5",J15,0)</f>
        <v>0</v>
      </c>
      <c r="Q15" s="32">
        <f aca="true" t="shared" si="5" ref="Q15:Q20">IF(AF15="1",H15,0)</f>
        <v>0</v>
      </c>
      <c r="R15" s="32">
        <f aca="true" t="shared" si="6" ref="R15:R20">IF(AF15="1",I15,0)</f>
        <v>0</v>
      </c>
      <c r="S15" s="32">
        <f aca="true" t="shared" si="7" ref="S15:S20">IF(AF15="7",H15,0)</f>
        <v>0</v>
      </c>
      <c r="T15" s="32">
        <f aca="true" t="shared" si="8" ref="T15:T20">IF(AF15="7",I15,0)</f>
        <v>0</v>
      </c>
      <c r="U15" s="32">
        <f aca="true" t="shared" si="9" ref="U15:U20">IF(AF15="2",H15,0)</f>
        <v>0</v>
      </c>
      <c r="V15" s="32">
        <f aca="true" t="shared" si="10" ref="V15:V20">IF(AF15="2",I15,0)</f>
        <v>0</v>
      </c>
      <c r="W15" s="32">
        <f aca="true" t="shared" si="11" ref="W15:W20">IF(AF15="0",J15,0)</f>
        <v>0</v>
      </c>
      <c r="X15" s="26"/>
      <c r="Y15" s="17">
        <f aca="true" t="shared" si="12" ref="Y15:Y20">IF(AC15=0,J15,0)</f>
        <v>0</v>
      </c>
      <c r="Z15" s="17">
        <f aca="true" t="shared" si="13" ref="Z15:Z20">IF(AC15=15,J15,0)</f>
        <v>0</v>
      </c>
      <c r="AA15" s="17">
        <f aca="true" t="shared" si="14" ref="AA15:AA20">IF(AC15=21,J15,0)</f>
        <v>0</v>
      </c>
      <c r="AC15" s="32">
        <v>21</v>
      </c>
      <c r="AD15" s="32">
        <f>G15*0.484595744680851</f>
        <v>0</v>
      </c>
      <c r="AE15" s="32">
        <f>G15*(1-0.484595744680851)</f>
        <v>0</v>
      </c>
      <c r="AF15" s="29" t="s">
        <v>7</v>
      </c>
      <c r="AL15" s="32">
        <f aca="true" t="shared" si="15" ref="AL15:AL20">F15*AD15</f>
        <v>0</v>
      </c>
      <c r="AM15" s="32">
        <f aca="true" t="shared" si="16" ref="AM15:AM20">F15*AE15</f>
        <v>0</v>
      </c>
      <c r="AN15" s="33" t="s">
        <v>266</v>
      </c>
      <c r="AO15" s="33" t="s">
        <v>286</v>
      </c>
      <c r="AP15" s="26" t="s">
        <v>293</v>
      </c>
      <c r="AR15" s="32">
        <f aca="true" t="shared" si="17" ref="AR15:AR20">AL15+AM15</f>
        <v>0</v>
      </c>
      <c r="AS15" s="32">
        <f aca="true" t="shared" si="18" ref="AS15:AS20">G15/(100-AT15)*100</f>
        <v>0</v>
      </c>
      <c r="AT15" s="32">
        <v>0</v>
      </c>
      <c r="AU15" s="32">
        <f aca="true" t="shared" si="19" ref="AU15:AU20">L15</f>
        <v>0.389865</v>
      </c>
    </row>
    <row r="16" spans="1:47" ht="12.75">
      <c r="A16" s="5" t="s">
        <v>9</v>
      </c>
      <c r="B16" s="5"/>
      <c r="C16" s="5" t="s">
        <v>73</v>
      </c>
      <c r="D16" s="5" t="s">
        <v>157</v>
      </c>
      <c r="E16" s="5" t="s">
        <v>237</v>
      </c>
      <c r="F16" s="17">
        <v>96.63</v>
      </c>
      <c r="G16" s="17"/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0.00252</v>
      </c>
      <c r="L16" s="17">
        <f t="shared" si="3"/>
        <v>0.2435076</v>
      </c>
      <c r="O16" s="32">
        <f t="shared" si="4"/>
        <v>0</v>
      </c>
      <c r="Q16" s="32">
        <f t="shared" si="5"/>
        <v>0</v>
      </c>
      <c r="R16" s="32">
        <f t="shared" si="6"/>
        <v>0</v>
      </c>
      <c r="S16" s="32">
        <f t="shared" si="7"/>
        <v>0</v>
      </c>
      <c r="T16" s="32">
        <f t="shared" si="8"/>
        <v>0</v>
      </c>
      <c r="U16" s="32">
        <f t="shared" si="9"/>
        <v>0</v>
      </c>
      <c r="V16" s="32">
        <f t="shared" si="10"/>
        <v>0</v>
      </c>
      <c r="W16" s="32">
        <f t="shared" si="11"/>
        <v>0</v>
      </c>
      <c r="X16" s="26"/>
      <c r="Y16" s="17">
        <f t="shared" si="12"/>
        <v>0</v>
      </c>
      <c r="Z16" s="17">
        <f t="shared" si="13"/>
        <v>0</v>
      </c>
      <c r="AA16" s="17">
        <f t="shared" si="14"/>
        <v>0</v>
      </c>
      <c r="AC16" s="32">
        <v>21</v>
      </c>
      <c r="AD16" s="32">
        <f>G16*0.185567973045112</f>
        <v>0</v>
      </c>
      <c r="AE16" s="32">
        <f>G16*(1-0.185567973045112)</f>
        <v>0</v>
      </c>
      <c r="AF16" s="29" t="s">
        <v>7</v>
      </c>
      <c r="AL16" s="32">
        <f t="shared" si="15"/>
        <v>0</v>
      </c>
      <c r="AM16" s="32">
        <f t="shared" si="16"/>
        <v>0</v>
      </c>
      <c r="AN16" s="33" t="s">
        <v>266</v>
      </c>
      <c r="AO16" s="33" t="s">
        <v>286</v>
      </c>
      <c r="AP16" s="26" t="s">
        <v>293</v>
      </c>
      <c r="AR16" s="32">
        <f t="shared" si="17"/>
        <v>0</v>
      </c>
      <c r="AS16" s="32">
        <f t="shared" si="18"/>
        <v>0</v>
      </c>
      <c r="AT16" s="32">
        <v>0</v>
      </c>
      <c r="AU16" s="32">
        <f t="shared" si="19"/>
        <v>0.2435076</v>
      </c>
    </row>
    <row r="17" spans="1:47" ht="12.75">
      <c r="A17" s="5" t="s">
        <v>10</v>
      </c>
      <c r="B17" s="5"/>
      <c r="C17" s="5" t="s">
        <v>74</v>
      </c>
      <c r="D17" s="5" t="s">
        <v>158</v>
      </c>
      <c r="E17" s="5" t="s">
        <v>237</v>
      </c>
      <c r="F17" s="17">
        <v>4</v>
      </c>
      <c r="G17" s="17"/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0.03921</v>
      </c>
      <c r="L17" s="17">
        <f t="shared" si="3"/>
        <v>0.15684</v>
      </c>
      <c r="O17" s="32">
        <f t="shared" si="4"/>
        <v>0</v>
      </c>
      <c r="Q17" s="32">
        <f t="shared" si="5"/>
        <v>0</v>
      </c>
      <c r="R17" s="32">
        <f t="shared" si="6"/>
        <v>0</v>
      </c>
      <c r="S17" s="32">
        <f t="shared" si="7"/>
        <v>0</v>
      </c>
      <c r="T17" s="32">
        <f t="shared" si="8"/>
        <v>0</v>
      </c>
      <c r="U17" s="32">
        <f t="shared" si="9"/>
        <v>0</v>
      </c>
      <c r="V17" s="32">
        <f t="shared" si="10"/>
        <v>0</v>
      </c>
      <c r="W17" s="32">
        <f t="shared" si="11"/>
        <v>0</v>
      </c>
      <c r="X17" s="26"/>
      <c r="Y17" s="17">
        <f t="shared" si="12"/>
        <v>0</v>
      </c>
      <c r="Z17" s="17">
        <f t="shared" si="13"/>
        <v>0</v>
      </c>
      <c r="AA17" s="17">
        <f t="shared" si="14"/>
        <v>0</v>
      </c>
      <c r="AC17" s="32">
        <v>21</v>
      </c>
      <c r="AD17" s="32">
        <f>G17*0.159433551198257</f>
        <v>0</v>
      </c>
      <c r="AE17" s="32">
        <f>G17*(1-0.159433551198257)</f>
        <v>0</v>
      </c>
      <c r="AF17" s="29" t="s">
        <v>7</v>
      </c>
      <c r="AL17" s="32">
        <f t="shared" si="15"/>
        <v>0</v>
      </c>
      <c r="AM17" s="32">
        <f t="shared" si="16"/>
        <v>0</v>
      </c>
      <c r="AN17" s="33" t="s">
        <v>266</v>
      </c>
      <c r="AO17" s="33" t="s">
        <v>286</v>
      </c>
      <c r="AP17" s="26" t="s">
        <v>293</v>
      </c>
      <c r="AR17" s="32">
        <f t="shared" si="17"/>
        <v>0</v>
      </c>
      <c r="AS17" s="32">
        <f t="shared" si="18"/>
        <v>0</v>
      </c>
      <c r="AT17" s="32">
        <v>0</v>
      </c>
      <c r="AU17" s="32">
        <f t="shared" si="19"/>
        <v>0.15684</v>
      </c>
    </row>
    <row r="18" spans="1:47" ht="12.75">
      <c r="A18" s="5" t="s">
        <v>11</v>
      </c>
      <c r="B18" s="5"/>
      <c r="C18" s="5" t="s">
        <v>75</v>
      </c>
      <c r="D18" s="5" t="s">
        <v>159</v>
      </c>
      <c r="E18" s="5" t="s">
        <v>237</v>
      </c>
      <c r="F18" s="17">
        <v>23.7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0.00635</v>
      </c>
      <c r="L18" s="17">
        <f t="shared" si="3"/>
        <v>0.150495</v>
      </c>
      <c r="O18" s="32">
        <f t="shared" si="4"/>
        <v>0</v>
      </c>
      <c r="Q18" s="32">
        <f t="shared" si="5"/>
        <v>0</v>
      </c>
      <c r="R18" s="32">
        <f t="shared" si="6"/>
        <v>0</v>
      </c>
      <c r="S18" s="32">
        <f t="shared" si="7"/>
        <v>0</v>
      </c>
      <c r="T18" s="32">
        <f t="shared" si="8"/>
        <v>0</v>
      </c>
      <c r="U18" s="32">
        <f t="shared" si="9"/>
        <v>0</v>
      </c>
      <c r="V18" s="32">
        <f t="shared" si="10"/>
        <v>0</v>
      </c>
      <c r="W18" s="32">
        <f t="shared" si="11"/>
        <v>0</v>
      </c>
      <c r="X18" s="26"/>
      <c r="Y18" s="17">
        <f t="shared" si="12"/>
        <v>0</v>
      </c>
      <c r="Z18" s="17">
        <f t="shared" si="13"/>
        <v>0</v>
      </c>
      <c r="AA18" s="17">
        <f t="shared" si="14"/>
        <v>0</v>
      </c>
      <c r="AC18" s="32">
        <v>21</v>
      </c>
      <c r="AD18" s="32">
        <f>G18*0.0477631578947368</f>
        <v>0</v>
      </c>
      <c r="AE18" s="32">
        <f>G18*(1-0.0477631578947368)</f>
        <v>0</v>
      </c>
      <c r="AF18" s="29" t="s">
        <v>7</v>
      </c>
      <c r="AL18" s="32">
        <f t="shared" si="15"/>
        <v>0</v>
      </c>
      <c r="AM18" s="32">
        <f t="shared" si="16"/>
        <v>0</v>
      </c>
      <c r="AN18" s="33" t="s">
        <v>266</v>
      </c>
      <c r="AO18" s="33" t="s">
        <v>286</v>
      </c>
      <c r="AP18" s="26" t="s">
        <v>293</v>
      </c>
      <c r="AR18" s="32">
        <f t="shared" si="17"/>
        <v>0</v>
      </c>
      <c r="AS18" s="32">
        <f t="shared" si="18"/>
        <v>0</v>
      </c>
      <c r="AT18" s="32">
        <v>0</v>
      </c>
      <c r="AU18" s="32">
        <f t="shared" si="19"/>
        <v>0.150495</v>
      </c>
    </row>
    <row r="19" spans="1:47" ht="12.75">
      <c r="A19" s="5" t="s">
        <v>12</v>
      </c>
      <c r="B19" s="5"/>
      <c r="C19" s="5" t="s">
        <v>76</v>
      </c>
      <c r="D19" s="5" t="s">
        <v>160</v>
      </c>
      <c r="E19" s="5" t="s">
        <v>238</v>
      </c>
      <c r="F19" s="17">
        <v>22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0.00849</v>
      </c>
      <c r="L19" s="17">
        <f t="shared" si="3"/>
        <v>0.18677999999999997</v>
      </c>
      <c r="O19" s="32">
        <f t="shared" si="4"/>
        <v>0</v>
      </c>
      <c r="Q19" s="32">
        <f t="shared" si="5"/>
        <v>0</v>
      </c>
      <c r="R19" s="32">
        <f t="shared" si="6"/>
        <v>0</v>
      </c>
      <c r="S19" s="32">
        <f t="shared" si="7"/>
        <v>0</v>
      </c>
      <c r="T19" s="32">
        <f t="shared" si="8"/>
        <v>0</v>
      </c>
      <c r="U19" s="32">
        <f t="shared" si="9"/>
        <v>0</v>
      </c>
      <c r="V19" s="32">
        <f t="shared" si="10"/>
        <v>0</v>
      </c>
      <c r="W19" s="32">
        <f t="shared" si="11"/>
        <v>0</v>
      </c>
      <c r="X19" s="26"/>
      <c r="Y19" s="17">
        <f t="shared" si="12"/>
        <v>0</v>
      </c>
      <c r="Z19" s="17">
        <f t="shared" si="13"/>
        <v>0</v>
      </c>
      <c r="AA19" s="17">
        <f t="shared" si="14"/>
        <v>0</v>
      </c>
      <c r="AC19" s="32">
        <v>21</v>
      </c>
      <c r="AD19" s="32">
        <f>G19*0.242232558139535</f>
        <v>0</v>
      </c>
      <c r="AE19" s="32">
        <f>G19*(1-0.242232558139535)</f>
        <v>0</v>
      </c>
      <c r="AF19" s="29" t="s">
        <v>7</v>
      </c>
      <c r="AL19" s="32">
        <f t="shared" si="15"/>
        <v>0</v>
      </c>
      <c r="AM19" s="32">
        <f t="shared" si="16"/>
        <v>0</v>
      </c>
      <c r="AN19" s="33" t="s">
        <v>266</v>
      </c>
      <c r="AO19" s="33" t="s">
        <v>286</v>
      </c>
      <c r="AP19" s="26" t="s">
        <v>293</v>
      </c>
      <c r="AR19" s="32">
        <f t="shared" si="17"/>
        <v>0</v>
      </c>
      <c r="AS19" s="32">
        <f t="shared" si="18"/>
        <v>0</v>
      </c>
      <c r="AT19" s="32">
        <v>0</v>
      </c>
      <c r="AU19" s="32">
        <f t="shared" si="19"/>
        <v>0.18677999999999997</v>
      </c>
    </row>
    <row r="20" spans="1:47" ht="12.75">
      <c r="A20" s="5" t="s">
        <v>13</v>
      </c>
      <c r="B20" s="5"/>
      <c r="C20" s="5" t="s">
        <v>77</v>
      </c>
      <c r="D20" s="5" t="s">
        <v>161</v>
      </c>
      <c r="E20" s="5" t="s">
        <v>237</v>
      </c>
      <c r="F20" s="17">
        <v>6.66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4E-05</v>
      </c>
      <c r="L20" s="17">
        <f t="shared" si="3"/>
        <v>0.0002664</v>
      </c>
      <c r="O20" s="32">
        <f t="shared" si="4"/>
        <v>0</v>
      </c>
      <c r="Q20" s="32">
        <f t="shared" si="5"/>
        <v>0</v>
      </c>
      <c r="R20" s="32">
        <f t="shared" si="6"/>
        <v>0</v>
      </c>
      <c r="S20" s="32">
        <f t="shared" si="7"/>
        <v>0</v>
      </c>
      <c r="T20" s="32">
        <f t="shared" si="8"/>
        <v>0</v>
      </c>
      <c r="U20" s="32">
        <f t="shared" si="9"/>
        <v>0</v>
      </c>
      <c r="V20" s="32">
        <f t="shared" si="10"/>
        <v>0</v>
      </c>
      <c r="W20" s="32">
        <f t="shared" si="11"/>
        <v>0</v>
      </c>
      <c r="X20" s="26"/>
      <c r="Y20" s="17">
        <f t="shared" si="12"/>
        <v>0</v>
      </c>
      <c r="Z20" s="17">
        <f t="shared" si="13"/>
        <v>0</v>
      </c>
      <c r="AA20" s="17">
        <f t="shared" si="14"/>
        <v>0</v>
      </c>
      <c r="AC20" s="32">
        <v>21</v>
      </c>
      <c r="AD20" s="32">
        <f>G20*0.293417188014488</f>
        <v>0</v>
      </c>
      <c r="AE20" s="32">
        <f>G20*(1-0.293417188014488)</f>
        <v>0</v>
      </c>
      <c r="AF20" s="29" t="s">
        <v>7</v>
      </c>
      <c r="AL20" s="32">
        <f t="shared" si="15"/>
        <v>0</v>
      </c>
      <c r="AM20" s="32">
        <f t="shared" si="16"/>
        <v>0</v>
      </c>
      <c r="AN20" s="33" t="s">
        <v>266</v>
      </c>
      <c r="AO20" s="33" t="s">
        <v>286</v>
      </c>
      <c r="AP20" s="26" t="s">
        <v>293</v>
      </c>
      <c r="AR20" s="32">
        <f t="shared" si="17"/>
        <v>0</v>
      </c>
      <c r="AS20" s="32">
        <f t="shared" si="18"/>
        <v>0</v>
      </c>
      <c r="AT20" s="32">
        <v>0</v>
      </c>
      <c r="AU20" s="32">
        <f t="shared" si="19"/>
        <v>0.0002664</v>
      </c>
    </row>
    <row r="21" spans="1:36" ht="12.75">
      <c r="A21" s="6"/>
      <c r="B21" s="14"/>
      <c r="C21" s="14" t="s">
        <v>78</v>
      </c>
      <c r="D21" s="14" t="s">
        <v>162</v>
      </c>
      <c r="E21" s="6" t="s">
        <v>6</v>
      </c>
      <c r="F21" s="6" t="s">
        <v>6</v>
      </c>
      <c r="G21" s="6"/>
      <c r="H21" s="35">
        <f>SUM(H22:H22)</f>
        <v>0</v>
      </c>
      <c r="I21" s="35">
        <f>SUM(I22:I22)</f>
        <v>0</v>
      </c>
      <c r="J21" s="35">
        <f>H21+I21</f>
        <v>0</v>
      </c>
      <c r="K21" s="26"/>
      <c r="L21" s="35">
        <f>SUM(L22:L22)</f>
        <v>0.2940168</v>
      </c>
      <c r="X21" s="26"/>
      <c r="AH21" s="35">
        <f>SUM(Y22:Y22)</f>
        <v>0</v>
      </c>
      <c r="AI21" s="35">
        <f>SUM(Z22:Z22)</f>
        <v>0</v>
      </c>
      <c r="AJ21" s="35">
        <f>SUM(AA22:AA22)</f>
        <v>0</v>
      </c>
    </row>
    <row r="22" spans="1:47" ht="12.75">
      <c r="A22" s="5" t="s">
        <v>14</v>
      </c>
      <c r="B22" s="5"/>
      <c r="C22" s="5" t="s">
        <v>79</v>
      </c>
      <c r="D22" s="5" t="s">
        <v>163</v>
      </c>
      <c r="E22" s="5" t="s">
        <v>237</v>
      </c>
      <c r="F22" s="17">
        <v>16.28</v>
      </c>
      <c r="G22" s="17"/>
      <c r="H22" s="17">
        <f>F22*AD22</f>
        <v>0</v>
      </c>
      <c r="I22" s="17">
        <f>J22-H22</f>
        <v>0</v>
      </c>
      <c r="J22" s="17">
        <f>F22*G22</f>
        <v>0</v>
      </c>
      <c r="K22" s="17">
        <v>0.01806</v>
      </c>
      <c r="L22" s="17">
        <f>F22*K22</f>
        <v>0.2940168</v>
      </c>
      <c r="O22" s="32">
        <f>IF(AF22="5",J22,0)</f>
        <v>0</v>
      </c>
      <c r="Q22" s="32">
        <f>IF(AF22="1",H22,0)</f>
        <v>0</v>
      </c>
      <c r="R22" s="32">
        <f>IF(AF22="1",I22,0)</f>
        <v>0</v>
      </c>
      <c r="S22" s="32">
        <f>IF(AF22="7",H22,0)</f>
        <v>0</v>
      </c>
      <c r="T22" s="32">
        <f>IF(AF22="7",I22,0)</f>
        <v>0</v>
      </c>
      <c r="U22" s="32">
        <f>IF(AF22="2",H22,0)</f>
        <v>0</v>
      </c>
      <c r="V22" s="32">
        <f>IF(AF22="2",I22,0)</f>
        <v>0</v>
      </c>
      <c r="W22" s="32">
        <f>IF(AF22="0",J22,0)</f>
        <v>0</v>
      </c>
      <c r="X22" s="26"/>
      <c r="Y22" s="17">
        <f>IF(AC22=0,J22,0)</f>
        <v>0</v>
      </c>
      <c r="Z22" s="17">
        <f>IF(AC22=15,J22,0)</f>
        <v>0</v>
      </c>
      <c r="AA22" s="17">
        <f>IF(AC22=21,J22,0)</f>
        <v>0</v>
      </c>
      <c r="AC22" s="32">
        <v>21</v>
      </c>
      <c r="AD22" s="32">
        <f>G22*0.620424880232467</f>
        <v>0</v>
      </c>
      <c r="AE22" s="32">
        <f>G22*(1-0.620424880232467)</f>
        <v>0</v>
      </c>
      <c r="AF22" s="29" t="s">
        <v>7</v>
      </c>
      <c r="AL22" s="32">
        <f>F22*AD22</f>
        <v>0</v>
      </c>
      <c r="AM22" s="32">
        <f>F22*AE22</f>
        <v>0</v>
      </c>
      <c r="AN22" s="33" t="s">
        <v>267</v>
      </c>
      <c r="AO22" s="33" t="s">
        <v>286</v>
      </c>
      <c r="AP22" s="26" t="s">
        <v>293</v>
      </c>
      <c r="AR22" s="32">
        <f>AL22+AM22</f>
        <v>0</v>
      </c>
      <c r="AS22" s="32">
        <f>G22/(100-AT22)*100</f>
        <v>0</v>
      </c>
      <c r="AT22" s="32">
        <v>0</v>
      </c>
      <c r="AU22" s="32">
        <f>L22</f>
        <v>0.2940168</v>
      </c>
    </row>
    <row r="23" spans="1:36" ht="12.75">
      <c r="A23" s="6"/>
      <c r="B23" s="14"/>
      <c r="C23" s="14" t="s">
        <v>80</v>
      </c>
      <c r="D23" s="14" t="s">
        <v>164</v>
      </c>
      <c r="E23" s="6" t="s">
        <v>6</v>
      </c>
      <c r="F23" s="6" t="s">
        <v>6</v>
      </c>
      <c r="G23" s="6"/>
      <c r="H23" s="35">
        <f>SUM(H24:H24)</f>
        <v>0</v>
      </c>
      <c r="I23" s="35">
        <f>SUM(I24:I24)</f>
        <v>0</v>
      </c>
      <c r="J23" s="35">
        <f>H23+I23</f>
        <v>0</v>
      </c>
      <c r="K23" s="26"/>
      <c r="L23" s="35">
        <f>SUM(L24:L24)</f>
        <v>0.26164</v>
      </c>
      <c r="X23" s="26"/>
      <c r="AH23" s="35">
        <f>SUM(Y24:Y24)</f>
        <v>0</v>
      </c>
      <c r="AI23" s="35">
        <f>SUM(Z24:Z24)</f>
        <v>0</v>
      </c>
      <c r="AJ23" s="35">
        <f>SUM(AA24:AA24)</f>
        <v>0</v>
      </c>
    </row>
    <row r="24" spans="1:47" ht="12.75">
      <c r="A24" s="5" t="s">
        <v>15</v>
      </c>
      <c r="B24" s="5"/>
      <c r="C24" s="5" t="s">
        <v>81</v>
      </c>
      <c r="D24" s="5" t="s">
        <v>165</v>
      </c>
      <c r="E24" s="5" t="s">
        <v>239</v>
      </c>
      <c r="F24" s="17">
        <v>4</v>
      </c>
      <c r="G24" s="17"/>
      <c r="H24" s="17">
        <f>F24*AD24</f>
        <v>0</v>
      </c>
      <c r="I24" s="17">
        <f>J24-H24</f>
        <v>0</v>
      </c>
      <c r="J24" s="17">
        <f>F24*G24</f>
        <v>0</v>
      </c>
      <c r="K24" s="17">
        <v>0.06541</v>
      </c>
      <c r="L24" s="17">
        <f>F24*K24</f>
        <v>0.26164</v>
      </c>
      <c r="O24" s="32">
        <f>IF(AF24="5",J24,0)</f>
        <v>0</v>
      </c>
      <c r="Q24" s="32">
        <f>IF(AF24="1",H24,0)</f>
        <v>0</v>
      </c>
      <c r="R24" s="32">
        <f>IF(AF24="1",I24,0)</f>
        <v>0</v>
      </c>
      <c r="S24" s="32">
        <f>IF(AF24="7",H24,0)</f>
        <v>0</v>
      </c>
      <c r="T24" s="32">
        <f>IF(AF24="7",I24,0)</f>
        <v>0</v>
      </c>
      <c r="U24" s="32">
        <f>IF(AF24="2",H24,0)</f>
        <v>0</v>
      </c>
      <c r="V24" s="32">
        <f>IF(AF24="2",I24,0)</f>
        <v>0</v>
      </c>
      <c r="W24" s="32">
        <f>IF(AF24="0",J24,0)</f>
        <v>0</v>
      </c>
      <c r="X24" s="26"/>
      <c r="Y24" s="17">
        <f>IF(AC24=0,J24,0)</f>
        <v>0</v>
      </c>
      <c r="Z24" s="17">
        <f>IF(AC24=15,J24,0)</f>
        <v>0</v>
      </c>
      <c r="AA24" s="17">
        <f>IF(AC24=21,J24,0)</f>
        <v>0</v>
      </c>
      <c r="AC24" s="32">
        <v>21</v>
      </c>
      <c r="AD24" s="32">
        <f>G24*0.726509081544369</f>
        <v>0</v>
      </c>
      <c r="AE24" s="32">
        <f>G24*(1-0.726509081544369)</f>
        <v>0</v>
      </c>
      <c r="AF24" s="29" t="s">
        <v>7</v>
      </c>
      <c r="AL24" s="32">
        <f>F24*AD24</f>
        <v>0</v>
      </c>
      <c r="AM24" s="32">
        <f>F24*AE24</f>
        <v>0</v>
      </c>
      <c r="AN24" s="33" t="s">
        <v>268</v>
      </c>
      <c r="AO24" s="33" t="s">
        <v>286</v>
      </c>
      <c r="AP24" s="26" t="s">
        <v>293</v>
      </c>
      <c r="AR24" s="32">
        <f>AL24+AM24</f>
        <v>0</v>
      </c>
      <c r="AS24" s="32">
        <f>G24/(100-AT24)*100</f>
        <v>0</v>
      </c>
      <c r="AT24" s="32">
        <v>0</v>
      </c>
      <c r="AU24" s="32">
        <f>L24</f>
        <v>0.26164</v>
      </c>
    </row>
    <row r="25" spans="1:36" ht="12.75">
      <c r="A25" s="6"/>
      <c r="B25" s="14"/>
      <c r="C25" s="14" t="s">
        <v>82</v>
      </c>
      <c r="D25" s="14" t="s">
        <v>166</v>
      </c>
      <c r="E25" s="6" t="s">
        <v>6</v>
      </c>
      <c r="F25" s="6" t="s">
        <v>6</v>
      </c>
      <c r="G25" s="6"/>
      <c r="H25" s="35">
        <f>SUM(H26:H29)</f>
        <v>0</v>
      </c>
      <c r="I25" s="35">
        <f>SUM(I26:I29)</f>
        <v>0</v>
      </c>
      <c r="J25" s="35">
        <f>H25+I25</f>
        <v>0</v>
      </c>
      <c r="K25" s="26"/>
      <c r="L25" s="35">
        <f>SUM(L26:L29)</f>
        <v>0.46142999999999995</v>
      </c>
      <c r="X25" s="26"/>
      <c r="AH25" s="35">
        <f>SUM(Y26:Y29)</f>
        <v>0</v>
      </c>
      <c r="AI25" s="35">
        <f>SUM(Z26:Z29)</f>
        <v>0</v>
      </c>
      <c r="AJ25" s="35">
        <f>SUM(AA26:AA29)</f>
        <v>0</v>
      </c>
    </row>
    <row r="26" spans="1:47" ht="12.75">
      <c r="A26" s="5" t="s">
        <v>16</v>
      </c>
      <c r="B26" s="5"/>
      <c r="C26" s="5" t="s">
        <v>83</v>
      </c>
      <c r="D26" s="5" t="s">
        <v>167</v>
      </c>
      <c r="E26" s="5" t="s">
        <v>238</v>
      </c>
      <c r="F26" s="17">
        <v>14</v>
      </c>
      <c r="G26" s="17"/>
      <c r="H26" s="17">
        <f>F26*AD26</f>
        <v>0</v>
      </c>
      <c r="I26" s="17">
        <f>J26-H26</f>
        <v>0</v>
      </c>
      <c r="J26" s="17">
        <f>F26*G26</f>
        <v>0</v>
      </c>
      <c r="K26" s="17">
        <v>0.03065</v>
      </c>
      <c r="L26" s="17">
        <f>F26*K26</f>
        <v>0.4291</v>
      </c>
      <c r="O26" s="32">
        <f>IF(AF26="5",J26,0)</f>
        <v>0</v>
      </c>
      <c r="Q26" s="32">
        <f>IF(AF26="1",H26,0)</f>
        <v>0</v>
      </c>
      <c r="R26" s="32">
        <f>IF(AF26="1",I26,0)</f>
        <v>0</v>
      </c>
      <c r="S26" s="32">
        <f>IF(AF26="7",H26,0)</f>
        <v>0</v>
      </c>
      <c r="T26" s="32">
        <f>IF(AF26="7",I26,0)</f>
        <v>0</v>
      </c>
      <c r="U26" s="32">
        <f>IF(AF26="2",H26,0)</f>
        <v>0</v>
      </c>
      <c r="V26" s="32">
        <f>IF(AF26="2",I26,0)</f>
        <v>0</v>
      </c>
      <c r="W26" s="32">
        <f>IF(AF26="0",J26,0)</f>
        <v>0</v>
      </c>
      <c r="X26" s="26"/>
      <c r="Y26" s="17">
        <f>IF(AC26=0,J26,0)</f>
        <v>0</v>
      </c>
      <c r="Z26" s="17">
        <f>IF(AC26=15,J26,0)</f>
        <v>0</v>
      </c>
      <c r="AA26" s="17">
        <f>IF(AC26=21,J26,0)</f>
        <v>0</v>
      </c>
      <c r="AC26" s="32">
        <v>21</v>
      </c>
      <c r="AD26" s="32">
        <f>G26*0</f>
        <v>0</v>
      </c>
      <c r="AE26" s="32">
        <f>G26*(1-0)</f>
        <v>0</v>
      </c>
      <c r="AF26" s="29" t="s">
        <v>13</v>
      </c>
      <c r="AL26" s="32">
        <f>F26*AD26</f>
        <v>0</v>
      </c>
      <c r="AM26" s="32">
        <f>F26*AE26</f>
        <v>0</v>
      </c>
      <c r="AN26" s="33" t="s">
        <v>269</v>
      </c>
      <c r="AO26" s="33" t="s">
        <v>287</v>
      </c>
      <c r="AP26" s="26" t="s">
        <v>293</v>
      </c>
      <c r="AR26" s="32">
        <f>AL26+AM26</f>
        <v>0</v>
      </c>
      <c r="AS26" s="32">
        <f>G26/(100-AT26)*100</f>
        <v>0</v>
      </c>
      <c r="AT26" s="32">
        <v>0</v>
      </c>
      <c r="AU26" s="32">
        <f>L26</f>
        <v>0.4291</v>
      </c>
    </row>
    <row r="27" spans="1:47" ht="12.75">
      <c r="A27" s="5" t="s">
        <v>17</v>
      </c>
      <c r="B27" s="5"/>
      <c r="C27" s="5" t="s">
        <v>84</v>
      </c>
      <c r="D27" s="5" t="s">
        <v>168</v>
      </c>
      <c r="E27" s="5" t="s">
        <v>238</v>
      </c>
      <c r="F27" s="17">
        <v>16</v>
      </c>
      <c r="G27" s="17"/>
      <c r="H27" s="17">
        <f>F27*AD27</f>
        <v>0</v>
      </c>
      <c r="I27" s="17">
        <f>J27-H27</f>
        <v>0</v>
      </c>
      <c r="J27" s="17">
        <f>F27*G27</f>
        <v>0</v>
      </c>
      <c r="K27" s="17">
        <v>0.00198</v>
      </c>
      <c r="L27" s="17">
        <f>F27*K27</f>
        <v>0.03168</v>
      </c>
      <c r="O27" s="32">
        <f>IF(AF27="5",J27,0)</f>
        <v>0</v>
      </c>
      <c r="Q27" s="32">
        <f>IF(AF27="1",H27,0)</f>
        <v>0</v>
      </c>
      <c r="R27" s="32">
        <f>IF(AF27="1",I27,0)</f>
        <v>0</v>
      </c>
      <c r="S27" s="32">
        <f>IF(AF27="7",H27,0)</f>
        <v>0</v>
      </c>
      <c r="T27" s="32">
        <f>IF(AF27="7",I27,0)</f>
        <v>0</v>
      </c>
      <c r="U27" s="32">
        <f>IF(AF27="2",H27,0)</f>
        <v>0</v>
      </c>
      <c r="V27" s="32">
        <f>IF(AF27="2",I27,0)</f>
        <v>0</v>
      </c>
      <c r="W27" s="32">
        <f>IF(AF27="0",J27,0)</f>
        <v>0</v>
      </c>
      <c r="X27" s="26"/>
      <c r="Y27" s="17">
        <f>IF(AC27=0,J27,0)</f>
        <v>0</v>
      </c>
      <c r="Z27" s="17">
        <f>IF(AC27=15,J27,0)</f>
        <v>0</v>
      </c>
      <c r="AA27" s="17">
        <f>IF(AC27=21,J27,0)</f>
        <v>0</v>
      </c>
      <c r="AC27" s="32">
        <v>21</v>
      </c>
      <c r="AD27" s="32">
        <f>G27*0.472152466367713</f>
        <v>0</v>
      </c>
      <c r="AE27" s="32">
        <f>G27*(1-0.472152466367713)</f>
        <v>0</v>
      </c>
      <c r="AF27" s="29" t="s">
        <v>13</v>
      </c>
      <c r="AL27" s="32">
        <f>F27*AD27</f>
        <v>0</v>
      </c>
      <c r="AM27" s="32">
        <f>F27*AE27</f>
        <v>0</v>
      </c>
      <c r="AN27" s="33" t="s">
        <v>269</v>
      </c>
      <c r="AO27" s="33" t="s">
        <v>287</v>
      </c>
      <c r="AP27" s="26" t="s">
        <v>293</v>
      </c>
      <c r="AR27" s="32">
        <f>AL27+AM27</f>
        <v>0</v>
      </c>
      <c r="AS27" s="32">
        <f>G27/(100-AT27)*100</f>
        <v>0</v>
      </c>
      <c r="AT27" s="32">
        <v>0</v>
      </c>
      <c r="AU27" s="32">
        <f>L27</f>
        <v>0.03168</v>
      </c>
    </row>
    <row r="28" spans="1:47" ht="12.75">
      <c r="A28" s="5" t="s">
        <v>18</v>
      </c>
      <c r="B28" s="5"/>
      <c r="C28" s="5" t="s">
        <v>85</v>
      </c>
      <c r="D28" s="5" t="s">
        <v>169</v>
      </c>
      <c r="E28" s="5" t="s">
        <v>240</v>
      </c>
      <c r="F28" s="17">
        <v>1</v>
      </c>
      <c r="G28" s="17"/>
      <c r="H28" s="17">
        <f>F28*AD28</f>
        <v>0</v>
      </c>
      <c r="I28" s="17">
        <f>J28-H28</f>
        <v>0</v>
      </c>
      <c r="J28" s="17">
        <f>F28*G28</f>
        <v>0</v>
      </c>
      <c r="K28" s="17">
        <v>0.00065</v>
      </c>
      <c r="L28" s="17">
        <f>F28*K28</f>
        <v>0.00065</v>
      </c>
      <c r="O28" s="32">
        <f>IF(AF28="5",J28,0)</f>
        <v>0</v>
      </c>
      <c r="Q28" s="32">
        <f>IF(AF28="1",H28,0)</f>
        <v>0</v>
      </c>
      <c r="R28" s="32">
        <f>IF(AF28="1",I28,0)</f>
        <v>0</v>
      </c>
      <c r="S28" s="32">
        <f>IF(AF28="7",H28,0)</f>
        <v>0</v>
      </c>
      <c r="T28" s="32">
        <f>IF(AF28="7",I28,0)</f>
        <v>0</v>
      </c>
      <c r="U28" s="32">
        <f>IF(AF28="2",H28,0)</f>
        <v>0</v>
      </c>
      <c r="V28" s="32">
        <f>IF(AF28="2",I28,0)</f>
        <v>0</v>
      </c>
      <c r="W28" s="32">
        <f>IF(AF28="0",J28,0)</f>
        <v>0</v>
      </c>
      <c r="X28" s="26"/>
      <c r="Y28" s="17">
        <f>IF(AC28=0,J28,0)</f>
        <v>0</v>
      </c>
      <c r="Z28" s="17">
        <f>IF(AC28=15,J28,0)</f>
        <v>0</v>
      </c>
      <c r="AA28" s="17">
        <f>IF(AC28=21,J28,0)</f>
        <v>0</v>
      </c>
      <c r="AC28" s="32">
        <v>21</v>
      </c>
      <c r="AD28" s="32">
        <f>G28*0.0264693333333333</f>
        <v>0</v>
      </c>
      <c r="AE28" s="32">
        <f>G28*(1-0.0264693333333333)</f>
        <v>0</v>
      </c>
      <c r="AF28" s="29" t="s">
        <v>13</v>
      </c>
      <c r="AL28" s="32">
        <f>F28*AD28</f>
        <v>0</v>
      </c>
      <c r="AM28" s="32">
        <f>F28*AE28</f>
        <v>0</v>
      </c>
      <c r="AN28" s="33" t="s">
        <v>269</v>
      </c>
      <c r="AO28" s="33" t="s">
        <v>287</v>
      </c>
      <c r="AP28" s="26" t="s">
        <v>293</v>
      </c>
      <c r="AR28" s="32">
        <f>AL28+AM28</f>
        <v>0</v>
      </c>
      <c r="AS28" s="32">
        <f>G28/(100-AT28)*100</f>
        <v>0</v>
      </c>
      <c r="AT28" s="32">
        <v>0</v>
      </c>
      <c r="AU28" s="32">
        <f>L28</f>
        <v>0.00065</v>
      </c>
    </row>
    <row r="29" spans="1:47" ht="12.75">
      <c r="A29" s="5" t="s">
        <v>19</v>
      </c>
      <c r="B29" s="5"/>
      <c r="C29" s="5" t="s">
        <v>86</v>
      </c>
      <c r="D29" s="5" t="s">
        <v>170</v>
      </c>
      <c r="E29" s="5" t="s">
        <v>241</v>
      </c>
      <c r="F29" s="17">
        <v>0.46143</v>
      </c>
      <c r="G29" s="17"/>
      <c r="H29" s="17">
        <f>F29*AD29</f>
        <v>0</v>
      </c>
      <c r="I29" s="17">
        <f>J29-H29</f>
        <v>0</v>
      </c>
      <c r="J29" s="17">
        <f>F29*G29</f>
        <v>0</v>
      </c>
      <c r="K29" s="17">
        <v>0</v>
      </c>
      <c r="L29" s="17">
        <f>F29*K29</f>
        <v>0</v>
      </c>
      <c r="O29" s="32">
        <f>IF(AF29="5",J29,0)</f>
        <v>0</v>
      </c>
      <c r="Q29" s="32">
        <f>IF(AF29="1",H29,0)</f>
        <v>0</v>
      </c>
      <c r="R29" s="32">
        <f>IF(AF29="1",I29,0)</f>
        <v>0</v>
      </c>
      <c r="S29" s="32">
        <f>IF(AF29="7",H29,0)</f>
        <v>0</v>
      </c>
      <c r="T29" s="32">
        <f>IF(AF29="7",I29,0)</f>
        <v>0</v>
      </c>
      <c r="U29" s="32">
        <f>IF(AF29="2",H29,0)</f>
        <v>0</v>
      </c>
      <c r="V29" s="32">
        <f>IF(AF29="2",I29,0)</f>
        <v>0</v>
      </c>
      <c r="W29" s="32">
        <f>IF(AF29="0",J29,0)</f>
        <v>0</v>
      </c>
      <c r="X29" s="26"/>
      <c r="Y29" s="17">
        <f>IF(AC29=0,J29,0)</f>
        <v>0</v>
      </c>
      <c r="Z29" s="17">
        <f>IF(AC29=15,J29,0)</f>
        <v>0</v>
      </c>
      <c r="AA29" s="17">
        <f>IF(AC29=21,J29,0)</f>
        <v>0</v>
      </c>
      <c r="AC29" s="32">
        <v>21</v>
      </c>
      <c r="AD29" s="32">
        <f>G29*0</f>
        <v>0</v>
      </c>
      <c r="AE29" s="32">
        <f>G29*(1-0)</f>
        <v>0</v>
      </c>
      <c r="AF29" s="29" t="s">
        <v>11</v>
      </c>
      <c r="AL29" s="32">
        <f>F29*AD29</f>
        <v>0</v>
      </c>
      <c r="AM29" s="32">
        <f>F29*AE29</f>
        <v>0</v>
      </c>
      <c r="AN29" s="33" t="s">
        <v>269</v>
      </c>
      <c r="AO29" s="33" t="s">
        <v>287</v>
      </c>
      <c r="AP29" s="26" t="s">
        <v>293</v>
      </c>
      <c r="AR29" s="32">
        <f>AL29+AM29</f>
        <v>0</v>
      </c>
      <c r="AS29" s="32">
        <f>G29/(100-AT29)*100</f>
        <v>0</v>
      </c>
      <c r="AT29" s="32">
        <v>0</v>
      </c>
      <c r="AU29" s="32">
        <f>L29</f>
        <v>0</v>
      </c>
    </row>
    <row r="30" spans="1:36" ht="12.75">
      <c r="A30" s="6"/>
      <c r="B30" s="14"/>
      <c r="C30" s="14" t="s">
        <v>87</v>
      </c>
      <c r="D30" s="14" t="s">
        <v>171</v>
      </c>
      <c r="E30" s="6" t="s">
        <v>6</v>
      </c>
      <c r="F30" s="6" t="s">
        <v>6</v>
      </c>
      <c r="G30" s="6"/>
      <c r="H30" s="35">
        <f>SUM(H31:H31)</f>
        <v>0</v>
      </c>
      <c r="I30" s="35">
        <f>SUM(I31:I31)</f>
        <v>0</v>
      </c>
      <c r="J30" s="35">
        <f>H30+I30</f>
        <v>0</v>
      </c>
      <c r="K30" s="26"/>
      <c r="L30" s="35">
        <f>SUM(L31:L31)</f>
        <v>0.11371</v>
      </c>
      <c r="X30" s="26"/>
      <c r="AH30" s="35">
        <f>SUM(Y31:Y31)</f>
        <v>0</v>
      </c>
      <c r="AI30" s="35">
        <f>SUM(Z31:Z31)</f>
        <v>0</v>
      </c>
      <c r="AJ30" s="35">
        <f>SUM(AA31:AA31)</f>
        <v>0</v>
      </c>
    </row>
    <row r="31" spans="1:47" ht="12.75">
      <c r="A31" s="5" t="s">
        <v>20</v>
      </c>
      <c r="B31" s="5"/>
      <c r="C31" s="5" t="s">
        <v>88</v>
      </c>
      <c r="D31" s="5" t="s">
        <v>172</v>
      </c>
      <c r="E31" s="5" t="s">
        <v>240</v>
      </c>
      <c r="F31" s="17">
        <v>1</v>
      </c>
      <c r="G31" s="17"/>
      <c r="H31" s="17">
        <f>F31*AD31</f>
        <v>0</v>
      </c>
      <c r="I31" s="17">
        <f>J31-H31</f>
        <v>0</v>
      </c>
      <c r="J31" s="17">
        <f>F31*G31</f>
        <v>0</v>
      </c>
      <c r="K31" s="17">
        <v>0.11371</v>
      </c>
      <c r="L31" s="17">
        <f>F31*K31</f>
        <v>0.11371</v>
      </c>
      <c r="O31" s="32">
        <f>IF(AF31="5",J31,0)</f>
        <v>0</v>
      </c>
      <c r="Q31" s="32">
        <f>IF(AF31="1",H31,0)</f>
        <v>0</v>
      </c>
      <c r="R31" s="32">
        <f>IF(AF31="1",I31,0)</f>
        <v>0</v>
      </c>
      <c r="S31" s="32">
        <f>IF(AF31="7",H31,0)</f>
        <v>0</v>
      </c>
      <c r="T31" s="32">
        <f>IF(AF31="7",I31,0)</f>
        <v>0</v>
      </c>
      <c r="U31" s="32">
        <f>IF(AF31="2",H31,0)</f>
        <v>0</v>
      </c>
      <c r="V31" s="32">
        <f>IF(AF31="2",I31,0)</f>
        <v>0</v>
      </c>
      <c r="W31" s="32">
        <f>IF(AF31="0",J31,0)</f>
        <v>0</v>
      </c>
      <c r="X31" s="26"/>
      <c r="Y31" s="17">
        <f>IF(AC31=0,J31,0)</f>
        <v>0</v>
      </c>
      <c r="Z31" s="17">
        <f>IF(AC31=15,J31,0)</f>
        <v>0</v>
      </c>
      <c r="AA31" s="17">
        <f>IF(AC31=21,J31,0)</f>
        <v>0</v>
      </c>
      <c r="AC31" s="32">
        <v>21</v>
      </c>
      <c r="AD31" s="32">
        <f>G31*0.956554666666667</f>
        <v>0</v>
      </c>
      <c r="AE31" s="32">
        <f>G31*(1-0.956554666666667)</f>
        <v>0</v>
      </c>
      <c r="AF31" s="29" t="s">
        <v>13</v>
      </c>
      <c r="AL31" s="32">
        <f>F31*AD31</f>
        <v>0</v>
      </c>
      <c r="AM31" s="32">
        <f>F31*AE31</f>
        <v>0</v>
      </c>
      <c r="AN31" s="33" t="s">
        <v>270</v>
      </c>
      <c r="AO31" s="33" t="s">
        <v>287</v>
      </c>
      <c r="AP31" s="26" t="s">
        <v>293</v>
      </c>
      <c r="AR31" s="32">
        <f>AL31+AM31</f>
        <v>0</v>
      </c>
      <c r="AS31" s="32">
        <f>G31/(100-AT31)*100</f>
        <v>0</v>
      </c>
      <c r="AT31" s="32">
        <v>0</v>
      </c>
      <c r="AU31" s="32">
        <f>L31</f>
        <v>0.11371</v>
      </c>
    </row>
    <row r="32" spans="1:36" ht="12.75">
      <c r="A32" s="6"/>
      <c r="B32" s="14"/>
      <c r="C32" s="14" t="s">
        <v>89</v>
      </c>
      <c r="D32" s="14" t="s">
        <v>173</v>
      </c>
      <c r="E32" s="6" t="s">
        <v>6</v>
      </c>
      <c r="F32" s="6" t="s">
        <v>6</v>
      </c>
      <c r="G32" s="6"/>
      <c r="H32" s="35">
        <f>SUM(H33:H37)</f>
        <v>0</v>
      </c>
      <c r="I32" s="35">
        <f>SUM(I33:I37)</f>
        <v>0</v>
      </c>
      <c r="J32" s="35">
        <f>H32+I32</f>
        <v>0</v>
      </c>
      <c r="K32" s="26"/>
      <c r="L32" s="35">
        <f>SUM(L33:L37)</f>
        <v>0.50276</v>
      </c>
      <c r="X32" s="26"/>
      <c r="AH32" s="35">
        <f>SUM(Y33:Y37)</f>
        <v>0</v>
      </c>
      <c r="AI32" s="35">
        <f>SUM(Z33:Z37)</f>
        <v>0</v>
      </c>
      <c r="AJ32" s="35">
        <f>SUM(AA33:AA37)</f>
        <v>0</v>
      </c>
    </row>
    <row r="33" spans="1:47" ht="12.75">
      <c r="A33" s="5" t="s">
        <v>21</v>
      </c>
      <c r="B33" s="5"/>
      <c r="C33" s="5" t="s">
        <v>90</v>
      </c>
      <c r="D33" s="5" t="s">
        <v>174</v>
      </c>
      <c r="E33" s="5" t="s">
        <v>242</v>
      </c>
      <c r="F33" s="17">
        <v>4</v>
      </c>
      <c r="G33" s="17"/>
      <c r="H33" s="17">
        <f>F33*AD33</f>
        <v>0</v>
      </c>
      <c r="I33" s="17">
        <f>J33-H33</f>
        <v>0</v>
      </c>
      <c r="J33" s="17">
        <f>F33*G33</f>
        <v>0</v>
      </c>
      <c r="K33" s="17">
        <v>0.01933</v>
      </c>
      <c r="L33" s="17">
        <f>F33*K33</f>
        <v>0.07732</v>
      </c>
      <c r="O33" s="32">
        <f>IF(AF33="5",J33,0)</f>
        <v>0</v>
      </c>
      <c r="Q33" s="32">
        <f>IF(AF33="1",H33,0)</f>
        <v>0</v>
      </c>
      <c r="R33" s="32">
        <f>IF(AF33="1",I33,0)</f>
        <v>0</v>
      </c>
      <c r="S33" s="32">
        <f>IF(AF33="7",H33,0)</f>
        <v>0</v>
      </c>
      <c r="T33" s="32">
        <f>IF(AF33="7",I33,0)</f>
        <v>0</v>
      </c>
      <c r="U33" s="32">
        <f>IF(AF33="2",H33,0)</f>
        <v>0</v>
      </c>
      <c r="V33" s="32">
        <f>IF(AF33="2",I33,0)</f>
        <v>0</v>
      </c>
      <c r="W33" s="32">
        <f>IF(AF33="0",J33,0)</f>
        <v>0</v>
      </c>
      <c r="X33" s="26"/>
      <c r="Y33" s="17">
        <f>IF(AC33=0,J33,0)</f>
        <v>0</v>
      </c>
      <c r="Z33" s="17">
        <f>IF(AC33=15,J33,0)</f>
        <v>0</v>
      </c>
      <c r="AA33" s="17">
        <f>IF(AC33=21,J33,0)</f>
        <v>0</v>
      </c>
      <c r="AC33" s="32">
        <v>21</v>
      </c>
      <c r="AD33" s="32">
        <f>G33*0</f>
        <v>0</v>
      </c>
      <c r="AE33" s="32">
        <f>G33*(1-0)</f>
        <v>0</v>
      </c>
      <c r="AF33" s="29" t="s">
        <v>13</v>
      </c>
      <c r="AL33" s="32">
        <f>F33*AD33</f>
        <v>0</v>
      </c>
      <c r="AM33" s="32">
        <f>F33*AE33</f>
        <v>0</v>
      </c>
      <c r="AN33" s="33" t="s">
        <v>271</v>
      </c>
      <c r="AO33" s="33" t="s">
        <v>287</v>
      </c>
      <c r="AP33" s="26" t="s">
        <v>293</v>
      </c>
      <c r="AR33" s="32">
        <f>AL33+AM33</f>
        <v>0</v>
      </c>
      <c r="AS33" s="32">
        <f>G33/(100-AT33)*100</f>
        <v>0</v>
      </c>
      <c r="AT33" s="32">
        <v>0</v>
      </c>
      <c r="AU33" s="32">
        <f>L33</f>
        <v>0.07732</v>
      </c>
    </row>
    <row r="34" spans="1:47" ht="12.75">
      <c r="A34" s="5" t="s">
        <v>22</v>
      </c>
      <c r="B34" s="5"/>
      <c r="C34" s="5" t="s">
        <v>91</v>
      </c>
      <c r="D34" s="5" t="s">
        <v>175</v>
      </c>
      <c r="E34" s="5" t="s">
        <v>242</v>
      </c>
      <c r="F34" s="17">
        <v>1</v>
      </c>
      <c r="G34" s="17"/>
      <c r="H34" s="17">
        <f>F34*AD34</f>
        <v>0</v>
      </c>
      <c r="I34" s="17">
        <f>J34-H34</f>
        <v>0</v>
      </c>
      <c r="J34" s="17">
        <f>F34*G34</f>
        <v>0</v>
      </c>
      <c r="K34" s="17">
        <v>0.21768</v>
      </c>
      <c r="L34" s="17">
        <f>F34*K34</f>
        <v>0.21768</v>
      </c>
      <c r="O34" s="32">
        <f>IF(AF34="5",J34,0)</f>
        <v>0</v>
      </c>
      <c r="Q34" s="32">
        <f>IF(AF34="1",H34,0)</f>
        <v>0</v>
      </c>
      <c r="R34" s="32">
        <f>IF(AF34="1",I34,0)</f>
        <v>0</v>
      </c>
      <c r="S34" s="32">
        <f>IF(AF34="7",H34,0)</f>
        <v>0</v>
      </c>
      <c r="T34" s="32">
        <f>IF(AF34="7",I34,0)</f>
        <v>0</v>
      </c>
      <c r="U34" s="32">
        <f>IF(AF34="2",H34,0)</f>
        <v>0</v>
      </c>
      <c r="V34" s="32">
        <f>IF(AF34="2",I34,0)</f>
        <v>0</v>
      </c>
      <c r="W34" s="32">
        <f>IF(AF34="0",J34,0)</f>
        <v>0</v>
      </c>
      <c r="X34" s="26"/>
      <c r="Y34" s="17">
        <f>IF(AC34=0,J34,0)</f>
        <v>0</v>
      </c>
      <c r="Z34" s="17">
        <f>IF(AC34=15,J34,0)</f>
        <v>0</v>
      </c>
      <c r="AA34" s="17">
        <f>IF(AC34=21,J34,0)</f>
        <v>0</v>
      </c>
      <c r="AC34" s="32">
        <v>21</v>
      </c>
      <c r="AD34" s="32">
        <f>G34*0</f>
        <v>0</v>
      </c>
      <c r="AE34" s="32">
        <f>G34*(1-0)</f>
        <v>0</v>
      </c>
      <c r="AF34" s="29" t="s">
        <v>13</v>
      </c>
      <c r="AL34" s="32">
        <f>F34*AD34</f>
        <v>0</v>
      </c>
      <c r="AM34" s="32">
        <f>F34*AE34</f>
        <v>0</v>
      </c>
      <c r="AN34" s="33" t="s">
        <v>271</v>
      </c>
      <c r="AO34" s="33" t="s">
        <v>287</v>
      </c>
      <c r="AP34" s="26" t="s">
        <v>293</v>
      </c>
      <c r="AR34" s="32">
        <f>AL34+AM34</f>
        <v>0</v>
      </c>
      <c r="AS34" s="32">
        <f>G34/(100-AT34)*100</f>
        <v>0</v>
      </c>
      <c r="AT34" s="32">
        <v>0</v>
      </c>
      <c r="AU34" s="32">
        <f>L34</f>
        <v>0.21768</v>
      </c>
    </row>
    <row r="35" spans="1:47" ht="12.75">
      <c r="A35" s="5" t="s">
        <v>23</v>
      </c>
      <c r="B35" s="5"/>
      <c r="C35" s="5" t="s">
        <v>92</v>
      </c>
      <c r="D35" s="5" t="s">
        <v>176</v>
      </c>
      <c r="E35" s="5" t="s">
        <v>242</v>
      </c>
      <c r="F35" s="17">
        <v>4</v>
      </c>
      <c r="G35" s="17"/>
      <c r="H35" s="17">
        <f>F35*AD35</f>
        <v>0</v>
      </c>
      <c r="I35" s="17">
        <f>J35-H35</f>
        <v>0</v>
      </c>
      <c r="J35" s="17">
        <f>F35*G35</f>
        <v>0</v>
      </c>
      <c r="K35" s="17">
        <v>0.02794</v>
      </c>
      <c r="L35" s="17">
        <f>F35*K35</f>
        <v>0.11176</v>
      </c>
      <c r="O35" s="32">
        <f>IF(AF35="5",J35,0)</f>
        <v>0</v>
      </c>
      <c r="Q35" s="32">
        <f>IF(AF35="1",H35,0)</f>
        <v>0</v>
      </c>
      <c r="R35" s="32">
        <f>IF(AF35="1",I35,0)</f>
        <v>0</v>
      </c>
      <c r="S35" s="32">
        <f>IF(AF35="7",H35,0)</f>
        <v>0</v>
      </c>
      <c r="T35" s="32">
        <f>IF(AF35="7",I35,0)</f>
        <v>0</v>
      </c>
      <c r="U35" s="32">
        <f>IF(AF35="2",H35,0)</f>
        <v>0</v>
      </c>
      <c r="V35" s="32">
        <f>IF(AF35="2",I35,0)</f>
        <v>0</v>
      </c>
      <c r="W35" s="32">
        <f>IF(AF35="0",J35,0)</f>
        <v>0</v>
      </c>
      <c r="X35" s="26"/>
      <c r="Y35" s="17">
        <f>IF(AC35=0,J35,0)</f>
        <v>0</v>
      </c>
      <c r="Z35" s="17">
        <f>IF(AC35=15,J35,0)</f>
        <v>0</v>
      </c>
      <c r="AA35" s="17">
        <f>IF(AC35=21,J35,0)</f>
        <v>0</v>
      </c>
      <c r="AC35" s="32">
        <v>21</v>
      </c>
      <c r="AD35" s="32">
        <f>G35*0.855227356746765</f>
        <v>0</v>
      </c>
      <c r="AE35" s="32">
        <f>G35*(1-0.855227356746765)</f>
        <v>0</v>
      </c>
      <c r="AF35" s="29" t="s">
        <v>13</v>
      </c>
      <c r="AL35" s="32">
        <f>F35*AD35</f>
        <v>0</v>
      </c>
      <c r="AM35" s="32">
        <f>F35*AE35</f>
        <v>0</v>
      </c>
      <c r="AN35" s="33" t="s">
        <v>271</v>
      </c>
      <c r="AO35" s="33" t="s">
        <v>287</v>
      </c>
      <c r="AP35" s="26" t="s">
        <v>293</v>
      </c>
      <c r="AR35" s="32">
        <f>AL35+AM35</f>
        <v>0</v>
      </c>
      <c r="AS35" s="32">
        <f>G35/(100-AT35)*100</f>
        <v>0</v>
      </c>
      <c r="AT35" s="32">
        <v>0</v>
      </c>
      <c r="AU35" s="32">
        <f>L35</f>
        <v>0.11176</v>
      </c>
    </row>
    <row r="36" spans="1:47" ht="12.75">
      <c r="A36" s="5" t="s">
        <v>24</v>
      </c>
      <c r="B36" s="5"/>
      <c r="C36" s="5" t="s">
        <v>93</v>
      </c>
      <c r="D36" s="5" t="s">
        <v>177</v>
      </c>
      <c r="E36" s="5" t="s">
        <v>242</v>
      </c>
      <c r="F36" s="17">
        <v>6</v>
      </c>
      <c r="G36" s="17"/>
      <c r="H36" s="17">
        <f>F36*AD36</f>
        <v>0</v>
      </c>
      <c r="I36" s="17">
        <f>J36-H36</f>
        <v>0</v>
      </c>
      <c r="J36" s="17">
        <f>F36*G36</f>
        <v>0</v>
      </c>
      <c r="K36" s="17">
        <v>0.016</v>
      </c>
      <c r="L36" s="17">
        <f>F36*K36</f>
        <v>0.096</v>
      </c>
      <c r="O36" s="32">
        <f>IF(AF36="5",J36,0)</f>
        <v>0</v>
      </c>
      <c r="Q36" s="32">
        <f>IF(AF36="1",H36,0)</f>
        <v>0</v>
      </c>
      <c r="R36" s="32">
        <f>IF(AF36="1",I36,0)</f>
        <v>0</v>
      </c>
      <c r="S36" s="32">
        <f>IF(AF36="7",H36,0)</f>
        <v>0</v>
      </c>
      <c r="T36" s="32">
        <f>IF(AF36="7",I36,0)</f>
        <v>0</v>
      </c>
      <c r="U36" s="32">
        <f>IF(AF36="2",H36,0)</f>
        <v>0</v>
      </c>
      <c r="V36" s="32">
        <f>IF(AF36="2",I36,0)</f>
        <v>0</v>
      </c>
      <c r="W36" s="32">
        <f>IF(AF36="0",J36,0)</f>
        <v>0</v>
      </c>
      <c r="X36" s="26"/>
      <c r="Y36" s="17">
        <f>IF(AC36=0,J36,0)</f>
        <v>0</v>
      </c>
      <c r="Z36" s="17">
        <f>IF(AC36=15,J36,0)</f>
        <v>0</v>
      </c>
      <c r="AA36" s="17">
        <f>IF(AC36=21,J36,0)</f>
        <v>0</v>
      </c>
      <c r="AC36" s="32">
        <v>21</v>
      </c>
      <c r="AD36" s="32">
        <f>G36*0.948982558139535</f>
        <v>0</v>
      </c>
      <c r="AE36" s="32">
        <f>G36*(1-0.948982558139535)</f>
        <v>0</v>
      </c>
      <c r="AF36" s="29" t="s">
        <v>13</v>
      </c>
      <c r="AL36" s="32">
        <f>F36*AD36</f>
        <v>0</v>
      </c>
      <c r="AM36" s="32">
        <f>F36*AE36</f>
        <v>0</v>
      </c>
      <c r="AN36" s="33" t="s">
        <v>271</v>
      </c>
      <c r="AO36" s="33" t="s">
        <v>287</v>
      </c>
      <c r="AP36" s="26" t="s">
        <v>293</v>
      </c>
      <c r="AR36" s="32">
        <f>AL36+AM36</f>
        <v>0</v>
      </c>
      <c r="AS36" s="32">
        <f>G36/(100-AT36)*100</f>
        <v>0</v>
      </c>
      <c r="AT36" s="32">
        <v>0</v>
      </c>
      <c r="AU36" s="32">
        <f>L36</f>
        <v>0.096</v>
      </c>
    </row>
    <row r="37" spans="1:47" ht="12.75">
      <c r="A37" s="5" t="s">
        <v>25</v>
      </c>
      <c r="B37" s="5"/>
      <c r="C37" s="5" t="s">
        <v>94</v>
      </c>
      <c r="D37" s="5" t="s">
        <v>178</v>
      </c>
      <c r="E37" s="5" t="s">
        <v>241</v>
      </c>
      <c r="F37" s="17">
        <v>0.50276</v>
      </c>
      <c r="G37" s="17"/>
      <c r="H37" s="17">
        <f>F37*AD37</f>
        <v>0</v>
      </c>
      <c r="I37" s="17">
        <f>J37-H37</f>
        <v>0</v>
      </c>
      <c r="J37" s="17">
        <f>F37*G37</f>
        <v>0</v>
      </c>
      <c r="K37" s="17">
        <v>0</v>
      </c>
      <c r="L37" s="17">
        <f>F37*K37</f>
        <v>0</v>
      </c>
      <c r="O37" s="32">
        <f>IF(AF37="5",J37,0)</f>
        <v>0</v>
      </c>
      <c r="Q37" s="32">
        <f>IF(AF37="1",H37,0)</f>
        <v>0</v>
      </c>
      <c r="R37" s="32">
        <f>IF(AF37="1",I37,0)</f>
        <v>0</v>
      </c>
      <c r="S37" s="32">
        <f>IF(AF37="7",H37,0)</f>
        <v>0</v>
      </c>
      <c r="T37" s="32">
        <f>IF(AF37="7",I37,0)</f>
        <v>0</v>
      </c>
      <c r="U37" s="32">
        <f>IF(AF37="2",H37,0)</f>
        <v>0</v>
      </c>
      <c r="V37" s="32">
        <f>IF(AF37="2",I37,0)</f>
        <v>0</v>
      </c>
      <c r="W37" s="32">
        <f>IF(AF37="0",J37,0)</f>
        <v>0</v>
      </c>
      <c r="X37" s="26"/>
      <c r="Y37" s="17">
        <f>IF(AC37=0,J37,0)</f>
        <v>0</v>
      </c>
      <c r="Z37" s="17">
        <f>IF(AC37=15,J37,0)</f>
        <v>0</v>
      </c>
      <c r="AA37" s="17">
        <f>IF(AC37=21,J37,0)</f>
        <v>0</v>
      </c>
      <c r="AC37" s="32">
        <v>21</v>
      </c>
      <c r="AD37" s="32">
        <f>G37*0</f>
        <v>0</v>
      </c>
      <c r="AE37" s="32">
        <f>G37*(1-0)</f>
        <v>0</v>
      </c>
      <c r="AF37" s="29" t="s">
        <v>11</v>
      </c>
      <c r="AL37" s="32">
        <f>F37*AD37</f>
        <v>0</v>
      </c>
      <c r="AM37" s="32">
        <f>F37*AE37</f>
        <v>0</v>
      </c>
      <c r="AN37" s="33" t="s">
        <v>271</v>
      </c>
      <c r="AO37" s="33" t="s">
        <v>287</v>
      </c>
      <c r="AP37" s="26" t="s">
        <v>293</v>
      </c>
      <c r="AR37" s="32">
        <f>AL37+AM37</f>
        <v>0</v>
      </c>
      <c r="AS37" s="32">
        <f>G37/(100-AT37)*100</f>
        <v>0</v>
      </c>
      <c r="AT37" s="32">
        <v>0</v>
      </c>
      <c r="AU37" s="32">
        <f>L37</f>
        <v>0</v>
      </c>
    </row>
    <row r="38" spans="1:36" ht="12.75">
      <c r="A38" s="6"/>
      <c r="B38" s="14"/>
      <c r="C38" s="14" t="s">
        <v>95</v>
      </c>
      <c r="D38" s="14" t="s">
        <v>179</v>
      </c>
      <c r="E38" s="6" t="s">
        <v>6</v>
      </c>
      <c r="F38" s="6" t="s">
        <v>6</v>
      </c>
      <c r="G38" s="6"/>
      <c r="H38" s="35">
        <f>SUM(H39:H39)</f>
        <v>0</v>
      </c>
      <c r="I38" s="35">
        <f>SUM(I39:I39)</f>
        <v>0</v>
      </c>
      <c r="J38" s="35">
        <f>H38+I38</f>
        <v>0</v>
      </c>
      <c r="K38" s="26"/>
      <c r="L38" s="35">
        <f>SUM(L39:L39)</f>
        <v>0.00102</v>
      </c>
      <c r="X38" s="26"/>
      <c r="AH38" s="35">
        <f>SUM(Y39:Y39)</f>
        <v>0</v>
      </c>
      <c r="AI38" s="35">
        <f>SUM(Z39:Z39)</f>
        <v>0</v>
      </c>
      <c r="AJ38" s="35">
        <f>SUM(AA39:AA39)</f>
        <v>0</v>
      </c>
    </row>
    <row r="39" spans="1:47" ht="12.75">
      <c r="A39" s="5" t="s">
        <v>26</v>
      </c>
      <c r="B39" s="5"/>
      <c r="C39" s="5" t="s">
        <v>96</v>
      </c>
      <c r="D39" s="5" t="s">
        <v>180</v>
      </c>
      <c r="E39" s="5" t="s">
        <v>240</v>
      </c>
      <c r="F39" s="17">
        <v>1</v>
      </c>
      <c r="G39" s="17"/>
      <c r="H39" s="17">
        <f>F39*AD39</f>
        <v>0</v>
      </c>
      <c r="I39" s="17">
        <f>J39-H39</f>
        <v>0</v>
      </c>
      <c r="J39" s="17">
        <f>F39*G39</f>
        <v>0</v>
      </c>
      <c r="K39" s="17">
        <v>0.00102</v>
      </c>
      <c r="L39" s="17">
        <f>F39*K39</f>
        <v>0.00102</v>
      </c>
      <c r="O39" s="32">
        <f>IF(AF39="5",J39,0)</f>
        <v>0</v>
      </c>
      <c r="Q39" s="32">
        <f>IF(AF39="1",H39,0)</f>
        <v>0</v>
      </c>
      <c r="R39" s="32">
        <f>IF(AF39="1",I39,0)</f>
        <v>0</v>
      </c>
      <c r="S39" s="32">
        <f>IF(AF39="7",H39,0)</f>
        <v>0</v>
      </c>
      <c r="T39" s="32">
        <f>IF(AF39="7",I39,0)</f>
        <v>0</v>
      </c>
      <c r="U39" s="32">
        <f>IF(AF39="2",H39,0)</f>
        <v>0</v>
      </c>
      <c r="V39" s="32">
        <f>IF(AF39="2",I39,0)</f>
        <v>0</v>
      </c>
      <c r="W39" s="32">
        <f>IF(AF39="0",J39,0)</f>
        <v>0</v>
      </c>
      <c r="X39" s="26"/>
      <c r="Y39" s="17">
        <f>IF(AC39=0,J39,0)</f>
        <v>0</v>
      </c>
      <c r="Z39" s="17">
        <f>IF(AC39=15,J39,0)</f>
        <v>0</v>
      </c>
      <c r="AA39" s="17">
        <f>IF(AC39=21,J39,0)</f>
        <v>0</v>
      </c>
      <c r="AC39" s="32">
        <v>21</v>
      </c>
      <c r="AD39" s="32">
        <f>G39*0.13132</f>
        <v>0</v>
      </c>
      <c r="AE39" s="32">
        <f>G39*(1-0.13132)</f>
        <v>0</v>
      </c>
      <c r="AF39" s="29" t="s">
        <v>13</v>
      </c>
      <c r="AL39" s="32">
        <f>F39*AD39</f>
        <v>0</v>
      </c>
      <c r="AM39" s="32">
        <f>F39*AE39</f>
        <v>0</v>
      </c>
      <c r="AN39" s="33" t="s">
        <v>272</v>
      </c>
      <c r="AO39" s="33" t="s">
        <v>288</v>
      </c>
      <c r="AP39" s="26" t="s">
        <v>293</v>
      </c>
      <c r="AR39" s="32">
        <f>AL39+AM39</f>
        <v>0</v>
      </c>
      <c r="AS39" s="32">
        <f>G39/(100-AT39)*100</f>
        <v>0</v>
      </c>
      <c r="AT39" s="32">
        <v>0</v>
      </c>
      <c r="AU39" s="32">
        <f>L39</f>
        <v>0.00102</v>
      </c>
    </row>
    <row r="40" spans="1:36" ht="12.75">
      <c r="A40" s="6"/>
      <c r="B40" s="14"/>
      <c r="C40" s="14" t="s">
        <v>97</v>
      </c>
      <c r="D40" s="14" t="s">
        <v>181</v>
      </c>
      <c r="E40" s="6" t="s">
        <v>6</v>
      </c>
      <c r="F40" s="6" t="s">
        <v>6</v>
      </c>
      <c r="G40" s="6"/>
      <c r="H40" s="35">
        <f>SUM(H41:H44)</f>
        <v>0</v>
      </c>
      <c r="I40" s="35">
        <f>SUM(I41:I44)</f>
        <v>0</v>
      </c>
      <c r="J40" s="35">
        <f>H40+I40</f>
        <v>0</v>
      </c>
      <c r="K40" s="26"/>
      <c r="L40" s="35">
        <f>SUM(L41:L44)</f>
        <v>0.07652</v>
      </c>
      <c r="X40" s="26"/>
      <c r="AH40" s="35">
        <f>SUM(Y41:Y44)</f>
        <v>0</v>
      </c>
      <c r="AI40" s="35">
        <f>SUM(Z41:Z44)</f>
        <v>0</v>
      </c>
      <c r="AJ40" s="35">
        <f>SUM(AA41:AA44)</f>
        <v>0</v>
      </c>
    </row>
    <row r="41" spans="1:47" ht="12.75">
      <c r="A41" s="5" t="s">
        <v>27</v>
      </c>
      <c r="B41" s="5"/>
      <c r="C41" s="5" t="s">
        <v>98</v>
      </c>
      <c r="D41" s="5" t="s">
        <v>182</v>
      </c>
      <c r="E41" s="5" t="s">
        <v>239</v>
      </c>
      <c r="F41" s="17">
        <v>1</v>
      </c>
      <c r="G41" s="17"/>
      <c r="H41" s="17">
        <f>F41*AD41</f>
        <v>0</v>
      </c>
      <c r="I41" s="17">
        <f>J41-H41</f>
        <v>0</v>
      </c>
      <c r="J41" s="17">
        <f>F41*G41</f>
        <v>0</v>
      </c>
      <c r="K41" s="17">
        <v>0.07013</v>
      </c>
      <c r="L41" s="17">
        <f>F41*K41</f>
        <v>0.07013</v>
      </c>
      <c r="O41" s="32">
        <f>IF(AF41="5",J41,0)</f>
        <v>0</v>
      </c>
      <c r="Q41" s="32">
        <f>IF(AF41="1",H41,0)</f>
        <v>0</v>
      </c>
      <c r="R41" s="32">
        <f>IF(AF41="1",I41,0)</f>
        <v>0</v>
      </c>
      <c r="S41" s="32">
        <f>IF(AF41="7",H41,0)</f>
        <v>0</v>
      </c>
      <c r="T41" s="32">
        <f>IF(AF41="7",I41,0)</f>
        <v>0</v>
      </c>
      <c r="U41" s="32">
        <f>IF(AF41="2",H41,0)</f>
        <v>0</v>
      </c>
      <c r="V41" s="32">
        <f>IF(AF41="2",I41,0)</f>
        <v>0</v>
      </c>
      <c r="W41" s="32">
        <f>IF(AF41="0",J41,0)</f>
        <v>0</v>
      </c>
      <c r="X41" s="26"/>
      <c r="Y41" s="17">
        <f>IF(AC41=0,J41,0)</f>
        <v>0</v>
      </c>
      <c r="Z41" s="17">
        <f>IF(AC41=15,J41,0)</f>
        <v>0</v>
      </c>
      <c r="AA41" s="17">
        <f>IF(AC41=21,J41,0)</f>
        <v>0</v>
      </c>
      <c r="AC41" s="32">
        <v>21</v>
      </c>
      <c r="AD41" s="32">
        <f>G41*0.102542857142857</f>
        <v>0</v>
      </c>
      <c r="AE41" s="32">
        <f>G41*(1-0.102542857142857)</f>
        <v>0</v>
      </c>
      <c r="AF41" s="29" t="s">
        <v>13</v>
      </c>
      <c r="AL41" s="32">
        <f>F41*AD41</f>
        <v>0</v>
      </c>
      <c r="AM41" s="32">
        <f>F41*AE41</f>
        <v>0</v>
      </c>
      <c r="AN41" s="33" t="s">
        <v>273</v>
      </c>
      <c r="AO41" s="33" t="s">
        <v>288</v>
      </c>
      <c r="AP41" s="26" t="s">
        <v>293</v>
      </c>
      <c r="AR41" s="32">
        <f>AL41+AM41</f>
        <v>0</v>
      </c>
      <c r="AS41" s="32">
        <f>G41/(100-AT41)*100</f>
        <v>0</v>
      </c>
      <c r="AT41" s="32">
        <v>0</v>
      </c>
      <c r="AU41" s="32">
        <f>L41</f>
        <v>0.07013</v>
      </c>
    </row>
    <row r="42" spans="1:47" ht="12.75">
      <c r="A42" s="5" t="s">
        <v>28</v>
      </c>
      <c r="B42" s="5"/>
      <c r="C42" s="5" t="s">
        <v>99</v>
      </c>
      <c r="D42" s="5" t="s">
        <v>183</v>
      </c>
      <c r="E42" s="5" t="s">
        <v>239</v>
      </c>
      <c r="F42" s="17">
        <v>1</v>
      </c>
      <c r="G42" s="17"/>
      <c r="H42" s="17">
        <f>F42*AD42</f>
        <v>0</v>
      </c>
      <c r="I42" s="17">
        <f>J42-H42</f>
        <v>0</v>
      </c>
      <c r="J42" s="17">
        <f>F42*G42</f>
        <v>0</v>
      </c>
      <c r="K42" s="17">
        <v>0.00519</v>
      </c>
      <c r="L42" s="17">
        <f>F42*K42</f>
        <v>0.00519</v>
      </c>
      <c r="O42" s="32">
        <f>IF(AF42="5",J42,0)</f>
        <v>0</v>
      </c>
      <c r="Q42" s="32">
        <f>IF(AF42="1",H42,0)</f>
        <v>0</v>
      </c>
      <c r="R42" s="32">
        <f>IF(AF42="1",I42,0)</f>
        <v>0</v>
      </c>
      <c r="S42" s="32">
        <f>IF(AF42="7",H42,0)</f>
        <v>0</v>
      </c>
      <c r="T42" s="32">
        <f>IF(AF42="7",I42,0)</f>
        <v>0</v>
      </c>
      <c r="U42" s="32">
        <f>IF(AF42="2",H42,0)</f>
        <v>0</v>
      </c>
      <c r="V42" s="32">
        <f>IF(AF42="2",I42,0)</f>
        <v>0</v>
      </c>
      <c r="W42" s="32">
        <f>IF(AF42="0",J42,0)</f>
        <v>0</v>
      </c>
      <c r="X42" s="26"/>
      <c r="Y42" s="17">
        <f>IF(AC42=0,J42,0)</f>
        <v>0</v>
      </c>
      <c r="Z42" s="17">
        <f>IF(AC42=15,J42,0)</f>
        <v>0</v>
      </c>
      <c r="AA42" s="17">
        <f>IF(AC42=21,J42,0)</f>
        <v>0</v>
      </c>
      <c r="AC42" s="32">
        <v>21</v>
      </c>
      <c r="AD42" s="32">
        <f>G42*0.926269430051814</f>
        <v>0</v>
      </c>
      <c r="AE42" s="32">
        <f>G42*(1-0.926269430051814)</f>
        <v>0</v>
      </c>
      <c r="AF42" s="29" t="s">
        <v>13</v>
      </c>
      <c r="AL42" s="32">
        <f>F42*AD42</f>
        <v>0</v>
      </c>
      <c r="AM42" s="32">
        <f>F42*AE42</f>
        <v>0</v>
      </c>
      <c r="AN42" s="33" t="s">
        <v>273</v>
      </c>
      <c r="AO42" s="33" t="s">
        <v>288</v>
      </c>
      <c r="AP42" s="26" t="s">
        <v>293</v>
      </c>
      <c r="AR42" s="32">
        <f>AL42+AM42</f>
        <v>0</v>
      </c>
      <c r="AS42" s="32">
        <f>G42/(100-AT42)*100</f>
        <v>0</v>
      </c>
      <c r="AT42" s="32">
        <v>0</v>
      </c>
      <c r="AU42" s="32">
        <f>L42</f>
        <v>0.00519</v>
      </c>
    </row>
    <row r="43" spans="1:47" ht="12.75">
      <c r="A43" s="5" t="s">
        <v>29</v>
      </c>
      <c r="B43" s="5"/>
      <c r="C43" s="5" t="s">
        <v>100</v>
      </c>
      <c r="D43" s="5" t="s">
        <v>184</v>
      </c>
      <c r="E43" s="5" t="s">
        <v>242</v>
      </c>
      <c r="F43" s="17">
        <v>1</v>
      </c>
      <c r="G43" s="17"/>
      <c r="H43" s="17">
        <f>F43*AD43</f>
        <v>0</v>
      </c>
      <c r="I43" s="17">
        <f>J43-H43</f>
        <v>0</v>
      </c>
      <c r="J43" s="17">
        <f>F43*G43</f>
        <v>0</v>
      </c>
      <c r="K43" s="17">
        <v>0.0012</v>
      </c>
      <c r="L43" s="17">
        <f>F43*K43</f>
        <v>0.0012</v>
      </c>
      <c r="O43" s="32">
        <f>IF(AF43="5",J43,0)</f>
        <v>0</v>
      </c>
      <c r="Q43" s="32">
        <f>IF(AF43="1",H43,0)</f>
        <v>0</v>
      </c>
      <c r="R43" s="32">
        <f>IF(AF43="1",I43,0)</f>
        <v>0</v>
      </c>
      <c r="S43" s="32">
        <f>IF(AF43="7",H43,0)</f>
        <v>0</v>
      </c>
      <c r="T43" s="32">
        <f>IF(AF43="7",I43,0)</f>
        <v>0</v>
      </c>
      <c r="U43" s="32">
        <f>IF(AF43="2",H43,0)</f>
        <v>0</v>
      </c>
      <c r="V43" s="32">
        <f>IF(AF43="2",I43,0)</f>
        <v>0</v>
      </c>
      <c r="W43" s="32">
        <f>IF(AF43="0",J43,0)</f>
        <v>0</v>
      </c>
      <c r="X43" s="26"/>
      <c r="Y43" s="17">
        <f>IF(AC43=0,J43,0)</f>
        <v>0</v>
      </c>
      <c r="Z43" s="17">
        <f>IF(AC43=15,J43,0)</f>
        <v>0</v>
      </c>
      <c r="AA43" s="17">
        <f>IF(AC43=21,J43,0)</f>
        <v>0</v>
      </c>
      <c r="AC43" s="32">
        <v>21</v>
      </c>
      <c r="AD43" s="32">
        <f>G43*0.416760330578512</f>
        <v>0</v>
      </c>
      <c r="AE43" s="32">
        <f>G43*(1-0.416760330578512)</f>
        <v>0</v>
      </c>
      <c r="AF43" s="29" t="s">
        <v>13</v>
      </c>
      <c r="AL43" s="32">
        <f>F43*AD43</f>
        <v>0</v>
      </c>
      <c r="AM43" s="32">
        <f>F43*AE43</f>
        <v>0</v>
      </c>
      <c r="AN43" s="33" t="s">
        <v>273</v>
      </c>
      <c r="AO43" s="33" t="s">
        <v>288</v>
      </c>
      <c r="AP43" s="26" t="s">
        <v>293</v>
      </c>
      <c r="AR43" s="32">
        <f>AL43+AM43</f>
        <v>0</v>
      </c>
      <c r="AS43" s="32">
        <f>G43/(100-AT43)*100</f>
        <v>0</v>
      </c>
      <c r="AT43" s="32">
        <v>0</v>
      </c>
      <c r="AU43" s="32">
        <f>L43</f>
        <v>0.0012</v>
      </c>
    </row>
    <row r="44" spans="1:47" ht="12.75">
      <c r="A44" s="5" t="s">
        <v>30</v>
      </c>
      <c r="B44" s="5"/>
      <c r="C44" s="5" t="s">
        <v>101</v>
      </c>
      <c r="D44" s="5" t="s">
        <v>185</v>
      </c>
      <c r="E44" s="5" t="s">
        <v>241</v>
      </c>
      <c r="F44" s="17">
        <v>0.07652</v>
      </c>
      <c r="G44" s="17"/>
      <c r="H44" s="17">
        <f>F44*AD44</f>
        <v>0</v>
      </c>
      <c r="I44" s="17">
        <f>J44-H44</f>
        <v>0</v>
      </c>
      <c r="J44" s="17">
        <f>F44*G44</f>
        <v>0</v>
      </c>
      <c r="K44" s="17">
        <v>0</v>
      </c>
      <c r="L44" s="17">
        <f>F44*K44</f>
        <v>0</v>
      </c>
      <c r="O44" s="32">
        <f>IF(AF44="5",J44,0)</f>
        <v>0</v>
      </c>
      <c r="Q44" s="32">
        <f>IF(AF44="1",H44,0)</f>
        <v>0</v>
      </c>
      <c r="R44" s="32">
        <f>IF(AF44="1",I44,0)</f>
        <v>0</v>
      </c>
      <c r="S44" s="32">
        <f>IF(AF44="7",H44,0)</f>
        <v>0</v>
      </c>
      <c r="T44" s="32">
        <f>IF(AF44="7",I44,0)</f>
        <v>0</v>
      </c>
      <c r="U44" s="32">
        <f>IF(AF44="2",H44,0)</f>
        <v>0</v>
      </c>
      <c r="V44" s="32">
        <f>IF(AF44="2",I44,0)</f>
        <v>0</v>
      </c>
      <c r="W44" s="32">
        <f>IF(AF44="0",J44,0)</f>
        <v>0</v>
      </c>
      <c r="X44" s="26"/>
      <c r="Y44" s="17">
        <f>IF(AC44=0,J44,0)</f>
        <v>0</v>
      </c>
      <c r="Z44" s="17">
        <f>IF(AC44=15,J44,0)</f>
        <v>0</v>
      </c>
      <c r="AA44" s="17">
        <f>IF(AC44=21,J44,0)</f>
        <v>0</v>
      </c>
      <c r="AC44" s="32">
        <v>21</v>
      </c>
      <c r="AD44" s="32">
        <f>G44*0</f>
        <v>0</v>
      </c>
      <c r="AE44" s="32">
        <f>G44*(1-0)</f>
        <v>0</v>
      </c>
      <c r="AF44" s="29" t="s">
        <v>11</v>
      </c>
      <c r="AL44" s="32">
        <f>F44*AD44</f>
        <v>0</v>
      </c>
      <c r="AM44" s="32">
        <f>F44*AE44</f>
        <v>0</v>
      </c>
      <c r="AN44" s="33" t="s">
        <v>273</v>
      </c>
      <c r="AO44" s="33" t="s">
        <v>288</v>
      </c>
      <c r="AP44" s="26" t="s">
        <v>293</v>
      </c>
      <c r="AR44" s="32">
        <f>AL44+AM44</f>
        <v>0</v>
      </c>
      <c r="AS44" s="32">
        <f>G44/(100-AT44)*100</f>
        <v>0</v>
      </c>
      <c r="AT44" s="32">
        <v>0</v>
      </c>
      <c r="AU44" s="32">
        <f>L44</f>
        <v>0</v>
      </c>
    </row>
    <row r="45" spans="1:36" ht="12.75">
      <c r="A45" s="6"/>
      <c r="B45" s="14"/>
      <c r="C45" s="14" t="s">
        <v>102</v>
      </c>
      <c r="D45" s="14" t="s">
        <v>186</v>
      </c>
      <c r="E45" s="6" t="s">
        <v>6</v>
      </c>
      <c r="F45" s="6" t="s">
        <v>6</v>
      </c>
      <c r="G45" s="6"/>
      <c r="H45" s="35">
        <f>SUM(H46:H51)</f>
        <v>0</v>
      </c>
      <c r="I45" s="35">
        <f>SUM(I46:I51)</f>
        <v>0</v>
      </c>
      <c r="J45" s="35">
        <f>H45+I45</f>
        <v>0</v>
      </c>
      <c r="K45" s="26"/>
      <c r="L45" s="35">
        <f>SUM(L46:L51)</f>
        <v>0.10525000000000001</v>
      </c>
      <c r="X45" s="26"/>
      <c r="AH45" s="35">
        <f>SUM(Y46:Y51)</f>
        <v>0</v>
      </c>
      <c r="AI45" s="35">
        <f>SUM(Z46:Z51)</f>
        <v>0</v>
      </c>
      <c r="AJ45" s="35">
        <f>SUM(AA46:AA51)</f>
        <v>0</v>
      </c>
    </row>
    <row r="46" spans="1:47" ht="12.75">
      <c r="A46" s="5" t="s">
        <v>31</v>
      </c>
      <c r="B46" s="5"/>
      <c r="C46" s="5" t="s">
        <v>103</v>
      </c>
      <c r="D46" s="5" t="s">
        <v>187</v>
      </c>
      <c r="E46" s="5" t="s">
        <v>239</v>
      </c>
      <c r="F46" s="17">
        <v>5</v>
      </c>
      <c r="G46" s="17"/>
      <c r="H46" s="17">
        <f aca="true" t="shared" si="20" ref="H46:H51">F46*AD46</f>
        <v>0</v>
      </c>
      <c r="I46" s="17">
        <f aca="true" t="shared" si="21" ref="I46:I51">J46-H46</f>
        <v>0</v>
      </c>
      <c r="J46" s="17">
        <f aca="true" t="shared" si="22" ref="J46:J51">F46*G46</f>
        <v>0</v>
      </c>
      <c r="K46" s="17">
        <v>0</v>
      </c>
      <c r="L46" s="17">
        <f aca="true" t="shared" si="23" ref="L46:L51">F46*K46</f>
        <v>0</v>
      </c>
      <c r="O46" s="32">
        <f aca="true" t="shared" si="24" ref="O46:O51">IF(AF46="5",J46,0)</f>
        <v>0</v>
      </c>
      <c r="Q46" s="32">
        <f aca="true" t="shared" si="25" ref="Q46:Q51">IF(AF46="1",H46,0)</f>
        <v>0</v>
      </c>
      <c r="R46" s="32">
        <f aca="true" t="shared" si="26" ref="R46:R51">IF(AF46="1",I46,0)</f>
        <v>0</v>
      </c>
      <c r="S46" s="32">
        <f aca="true" t="shared" si="27" ref="S46:S51">IF(AF46="7",H46,0)</f>
        <v>0</v>
      </c>
      <c r="T46" s="32">
        <f aca="true" t="shared" si="28" ref="T46:T51">IF(AF46="7",I46,0)</f>
        <v>0</v>
      </c>
      <c r="U46" s="32">
        <f aca="true" t="shared" si="29" ref="U46:U51">IF(AF46="2",H46,0)</f>
        <v>0</v>
      </c>
      <c r="V46" s="32">
        <f aca="true" t="shared" si="30" ref="V46:V51">IF(AF46="2",I46,0)</f>
        <v>0</v>
      </c>
      <c r="W46" s="32">
        <f aca="true" t="shared" si="31" ref="W46:W51">IF(AF46="0",J46,0)</f>
        <v>0</v>
      </c>
      <c r="X46" s="26"/>
      <c r="Y46" s="17">
        <f aca="true" t="shared" si="32" ref="Y46:Y51">IF(AC46=0,J46,0)</f>
        <v>0</v>
      </c>
      <c r="Z46" s="17">
        <f aca="true" t="shared" si="33" ref="Z46:Z51">IF(AC46=15,J46,0)</f>
        <v>0</v>
      </c>
      <c r="AA46" s="17">
        <f aca="true" t="shared" si="34" ref="AA46:AA51">IF(AC46=21,J46,0)</f>
        <v>0</v>
      </c>
      <c r="AC46" s="32">
        <v>21</v>
      </c>
      <c r="AD46" s="32">
        <f>G46*0</f>
        <v>0</v>
      </c>
      <c r="AE46" s="32">
        <f>G46*(1-0)</f>
        <v>0</v>
      </c>
      <c r="AF46" s="29" t="s">
        <v>13</v>
      </c>
      <c r="AL46" s="32">
        <f aca="true" t="shared" si="35" ref="AL46:AL51">F46*AD46</f>
        <v>0</v>
      </c>
      <c r="AM46" s="32">
        <f aca="true" t="shared" si="36" ref="AM46:AM51">F46*AE46</f>
        <v>0</v>
      </c>
      <c r="AN46" s="33" t="s">
        <v>274</v>
      </c>
      <c r="AO46" s="33" t="s">
        <v>289</v>
      </c>
      <c r="AP46" s="26" t="s">
        <v>293</v>
      </c>
      <c r="AR46" s="32">
        <f aca="true" t="shared" si="37" ref="AR46:AR51">AL46+AM46</f>
        <v>0</v>
      </c>
      <c r="AS46" s="32">
        <f aca="true" t="shared" si="38" ref="AS46:AS51">G46/(100-AT46)*100</f>
        <v>0</v>
      </c>
      <c r="AT46" s="32">
        <v>0</v>
      </c>
      <c r="AU46" s="32">
        <f aca="true" t="shared" si="39" ref="AU46:AU51">L46</f>
        <v>0</v>
      </c>
    </row>
    <row r="47" spans="1:47" ht="12.75">
      <c r="A47" s="5" t="s">
        <v>32</v>
      </c>
      <c r="B47" s="5"/>
      <c r="C47" s="5" t="s">
        <v>104</v>
      </c>
      <c r="D47" s="5" t="s">
        <v>188</v>
      </c>
      <c r="E47" s="5" t="s">
        <v>239</v>
      </c>
      <c r="F47" s="17">
        <v>5</v>
      </c>
      <c r="G47" s="17"/>
      <c r="H47" s="17">
        <f t="shared" si="20"/>
        <v>0</v>
      </c>
      <c r="I47" s="17">
        <f t="shared" si="21"/>
        <v>0</v>
      </c>
      <c r="J47" s="17">
        <f t="shared" si="22"/>
        <v>0</v>
      </c>
      <c r="K47" s="17">
        <v>0</v>
      </c>
      <c r="L47" s="17">
        <f t="shared" si="23"/>
        <v>0</v>
      </c>
      <c r="O47" s="32">
        <f t="shared" si="24"/>
        <v>0</v>
      </c>
      <c r="Q47" s="32">
        <f t="shared" si="25"/>
        <v>0</v>
      </c>
      <c r="R47" s="32">
        <f t="shared" si="26"/>
        <v>0</v>
      </c>
      <c r="S47" s="32">
        <f t="shared" si="27"/>
        <v>0</v>
      </c>
      <c r="T47" s="32">
        <f t="shared" si="28"/>
        <v>0</v>
      </c>
      <c r="U47" s="32">
        <f t="shared" si="29"/>
        <v>0</v>
      </c>
      <c r="V47" s="32">
        <f t="shared" si="30"/>
        <v>0</v>
      </c>
      <c r="W47" s="32">
        <f t="shared" si="31"/>
        <v>0</v>
      </c>
      <c r="X47" s="26"/>
      <c r="Y47" s="17">
        <f t="shared" si="32"/>
        <v>0</v>
      </c>
      <c r="Z47" s="17">
        <f t="shared" si="33"/>
        <v>0</v>
      </c>
      <c r="AA47" s="17">
        <f t="shared" si="34"/>
        <v>0</v>
      </c>
      <c r="AC47" s="32">
        <v>21</v>
      </c>
      <c r="AD47" s="32">
        <f>G47*0</f>
        <v>0</v>
      </c>
      <c r="AE47" s="32">
        <f>G47*(1-0)</f>
        <v>0</v>
      </c>
      <c r="AF47" s="29" t="s">
        <v>13</v>
      </c>
      <c r="AL47" s="32">
        <f t="shared" si="35"/>
        <v>0</v>
      </c>
      <c r="AM47" s="32">
        <f t="shared" si="36"/>
        <v>0</v>
      </c>
      <c r="AN47" s="33" t="s">
        <v>274</v>
      </c>
      <c r="AO47" s="33" t="s">
        <v>289</v>
      </c>
      <c r="AP47" s="26" t="s">
        <v>293</v>
      </c>
      <c r="AR47" s="32">
        <f t="shared" si="37"/>
        <v>0</v>
      </c>
      <c r="AS47" s="32">
        <f t="shared" si="38"/>
        <v>0</v>
      </c>
      <c r="AT47" s="32">
        <v>0</v>
      </c>
      <c r="AU47" s="32">
        <f t="shared" si="39"/>
        <v>0</v>
      </c>
    </row>
    <row r="48" spans="1:47" ht="12.75">
      <c r="A48" s="5" t="s">
        <v>33</v>
      </c>
      <c r="B48" s="5"/>
      <c r="C48" s="5" t="s">
        <v>105</v>
      </c>
      <c r="D48" s="5" t="s">
        <v>189</v>
      </c>
      <c r="E48" s="5" t="s">
        <v>241</v>
      </c>
      <c r="F48" s="17">
        <v>0.08</v>
      </c>
      <c r="G48" s="17"/>
      <c r="H48" s="17">
        <f t="shared" si="20"/>
        <v>0</v>
      </c>
      <c r="I48" s="17">
        <f t="shared" si="21"/>
        <v>0</v>
      </c>
      <c r="J48" s="17">
        <f t="shared" si="22"/>
        <v>0</v>
      </c>
      <c r="K48" s="17">
        <v>0</v>
      </c>
      <c r="L48" s="17">
        <f t="shared" si="23"/>
        <v>0</v>
      </c>
      <c r="O48" s="32">
        <f t="shared" si="24"/>
        <v>0</v>
      </c>
      <c r="Q48" s="32">
        <f t="shared" si="25"/>
        <v>0</v>
      </c>
      <c r="R48" s="32">
        <f t="shared" si="26"/>
        <v>0</v>
      </c>
      <c r="S48" s="32">
        <f t="shared" si="27"/>
        <v>0</v>
      </c>
      <c r="T48" s="32">
        <f t="shared" si="28"/>
        <v>0</v>
      </c>
      <c r="U48" s="32">
        <f t="shared" si="29"/>
        <v>0</v>
      </c>
      <c r="V48" s="32">
        <f t="shared" si="30"/>
        <v>0</v>
      </c>
      <c r="W48" s="32">
        <f t="shared" si="31"/>
        <v>0</v>
      </c>
      <c r="X48" s="26"/>
      <c r="Y48" s="17">
        <f t="shared" si="32"/>
        <v>0</v>
      </c>
      <c r="Z48" s="17">
        <f t="shared" si="33"/>
        <v>0</v>
      </c>
      <c r="AA48" s="17">
        <f t="shared" si="34"/>
        <v>0</v>
      </c>
      <c r="AC48" s="32">
        <v>21</v>
      </c>
      <c r="AD48" s="32">
        <f>G48*0</f>
        <v>0</v>
      </c>
      <c r="AE48" s="32">
        <f>G48*(1-0)</f>
        <v>0</v>
      </c>
      <c r="AF48" s="29" t="s">
        <v>11</v>
      </c>
      <c r="AL48" s="32">
        <f t="shared" si="35"/>
        <v>0</v>
      </c>
      <c r="AM48" s="32">
        <f t="shared" si="36"/>
        <v>0</v>
      </c>
      <c r="AN48" s="33" t="s">
        <v>274</v>
      </c>
      <c r="AO48" s="33" t="s">
        <v>289</v>
      </c>
      <c r="AP48" s="26" t="s">
        <v>293</v>
      </c>
      <c r="AR48" s="32">
        <f t="shared" si="37"/>
        <v>0</v>
      </c>
      <c r="AS48" s="32">
        <f t="shared" si="38"/>
        <v>0</v>
      </c>
      <c r="AT48" s="32">
        <v>0</v>
      </c>
      <c r="AU48" s="32">
        <f t="shared" si="39"/>
        <v>0</v>
      </c>
    </row>
    <row r="49" spans="1:47" ht="12.75">
      <c r="A49" s="7" t="s">
        <v>34</v>
      </c>
      <c r="B49" s="7"/>
      <c r="C49" s="7" t="s">
        <v>106</v>
      </c>
      <c r="D49" s="7" t="s">
        <v>190</v>
      </c>
      <c r="E49" s="7" t="s">
        <v>239</v>
      </c>
      <c r="F49" s="18">
        <v>4</v>
      </c>
      <c r="G49" s="18"/>
      <c r="H49" s="18">
        <f t="shared" si="20"/>
        <v>0</v>
      </c>
      <c r="I49" s="18">
        <f t="shared" si="21"/>
        <v>0</v>
      </c>
      <c r="J49" s="18">
        <f t="shared" si="22"/>
        <v>0</v>
      </c>
      <c r="K49" s="18">
        <v>0.02</v>
      </c>
      <c r="L49" s="18">
        <f t="shared" si="23"/>
        <v>0.08</v>
      </c>
      <c r="O49" s="32">
        <f t="shared" si="24"/>
        <v>0</v>
      </c>
      <c r="Q49" s="32">
        <f t="shared" si="25"/>
        <v>0</v>
      </c>
      <c r="R49" s="32">
        <f t="shared" si="26"/>
        <v>0</v>
      </c>
      <c r="S49" s="32">
        <f t="shared" si="27"/>
        <v>0</v>
      </c>
      <c r="T49" s="32">
        <f t="shared" si="28"/>
        <v>0</v>
      </c>
      <c r="U49" s="32">
        <f t="shared" si="29"/>
        <v>0</v>
      </c>
      <c r="V49" s="32">
        <f t="shared" si="30"/>
        <v>0</v>
      </c>
      <c r="W49" s="32">
        <f t="shared" si="31"/>
        <v>0</v>
      </c>
      <c r="X49" s="26"/>
      <c r="Y49" s="18">
        <f t="shared" si="32"/>
        <v>0</v>
      </c>
      <c r="Z49" s="18">
        <f t="shared" si="33"/>
        <v>0</v>
      </c>
      <c r="AA49" s="18">
        <f t="shared" si="34"/>
        <v>0</v>
      </c>
      <c r="AC49" s="32">
        <v>21</v>
      </c>
      <c r="AD49" s="32">
        <f>G49*1</f>
        <v>0</v>
      </c>
      <c r="AE49" s="32">
        <f>G49*(1-1)</f>
        <v>0</v>
      </c>
      <c r="AF49" s="30" t="s">
        <v>13</v>
      </c>
      <c r="AL49" s="32">
        <f t="shared" si="35"/>
        <v>0</v>
      </c>
      <c r="AM49" s="32">
        <f t="shared" si="36"/>
        <v>0</v>
      </c>
      <c r="AN49" s="33" t="s">
        <v>274</v>
      </c>
      <c r="AO49" s="33" t="s">
        <v>289</v>
      </c>
      <c r="AP49" s="26" t="s">
        <v>293</v>
      </c>
      <c r="AR49" s="32">
        <f t="shared" si="37"/>
        <v>0</v>
      </c>
      <c r="AS49" s="32">
        <f t="shared" si="38"/>
        <v>0</v>
      </c>
      <c r="AT49" s="32">
        <v>0</v>
      </c>
      <c r="AU49" s="32">
        <f t="shared" si="39"/>
        <v>0.08</v>
      </c>
    </row>
    <row r="50" spans="1:47" ht="12.75">
      <c r="A50" s="7" t="s">
        <v>35</v>
      </c>
      <c r="B50" s="7"/>
      <c r="C50" s="7" t="s">
        <v>107</v>
      </c>
      <c r="D50" s="7" t="s">
        <v>191</v>
      </c>
      <c r="E50" s="7" t="s">
        <v>239</v>
      </c>
      <c r="F50" s="18">
        <v>5</v>
      </c>
      <c r="G50" s="18"/>
      <c r="H50" s="18">
        <f t="shared" si="20"/>
        <v>0</v>
      </c>
      <c r="I50" s="18">
        <f t="shared" si="21"/>
        <v>0</v>
      </c>
      <c r="J50" s="18">
        <f t="shared" si="22"/>
        <v>0</v>
      </c>
      <c r="K50" s="18">
        <v>0.00075</v>
      </c>
      <c r="L50" s="18">
        <f t="shared" si="23"/>
        <v>0.00375</v>
      </c>
      <c r="O50" s="32">
        <f t="shared" si="24"/>
        <v>0</v>
      </c>
      <c r="Q50" s="32">
        <f t="shared" si="25"/>
        <v>0</v>
      </c>
      <c r="R50" s="32">
        <f t="shared" si="26"/>
        <v>0</v>
      </c>
      <c r="S50" s="32">
        <f t="shared" si="27"/>
        <v>0</v>
      </c>
      <c r="T50" s="32">
        <f t="shared" si="28"/>
        <v>0</v>
      </c>
      <c r="U50" s="32">
        <f t="shared" si="29"/>
        <v>0</v>
      </c>
      <c r="V50" s="32">
        <f t="shared" si="30"/>
        <v>0</v>
      </c>
      <c r="W50" s="32">
        <f t="shared" si="31"/>
        <v>0</v>
      </c>
      <c r="X50" s="26"/>
      <c r="Y50" s="18">
        <f t="shared" si="32"/>
        <v>0</v>
      </c>
      <c r="Z50" s="18">
        <f t="shared" si="33"/>
        <v>0</v>
      </c>
      <c r="AA50" s="18">
        <f t="shared" si="34"/>
        <v>0</v>
      </c>
      <c r="AC50" s="32">
        <v>21</v>
      </c>
      <c r="AD50" s="32">
        <f>G50*1</f>
        <v>0</v>
      </c>
      <c r="AE50" s="32">
        <f>G50*(1-1)</f>
        <v>0</v>
      </c>
      <c r="AF50" s="30" t="s">
        <v>13</v>
      </c>
      <c r="AL50" s="32">
        <f t="shared" si="35"/>
        <v>0</v>
      </c>
      <c r="AM50" s="32">
        <f t="shared" si="36"/>
        <v>0</v>
      </c>
      <c r="AN50" s="33" t="s">
        <v>274</v>
      </c>
      <c r="AO50" s="33" t="s">
        <v>289</v>
      </c>
      <c r="AP50" s="26" t="s">
        <v>293</v>
      </c>
      <c r="AR50" s="32">
        <f t="shared" si="37"/>
        <v>0</v>
      </c>
      <c r="AS50" s="32">
        <f t="shared" si="38"/>
        <v>0</v>
      </c>
      <c r="AT50" s="32">
        <v>0</v>
      </c>
      <c r="AU50" s="32">
        <f t="shared" si="39"/>
        <v>0.00375</v>
      </c>
    </row>
    <row r="51" spans="1:47" ht="12.75">
      <c r="A51" s="7" t="s">
        <v>36</v>
      </c>
      <c r="B51" s="7"/>
      <c r="C51" s="7" t="s">
        <v>108</v>
      </c>
      <c r="D51" s="7" t="s">
        <v>192</v>
      </c>
      <c r="E51" s="7" t="s">
        <v>239</v>
      </c>
      <c r="F51" s="18">
        <v>1</v>
      </c>
      <c r="G51" s="18"/>
      <c r="H51" s="18">
        <f t="shared" si="20"/>
        <v>0</v>
      </c>
      <c r="I51" s="18">
        <f t="shared" si="21"/>
        <v>0</v>
      </c>
      <c r="J51" s="18">
        <f t="shared" si="22"/>
        <v>0</v>
      </c>
      <c r="K51" s="18">
        <v>0.0215</v>
      </c>
      <c r="L51" s="18">
        <f t="shared" si="23"/>
        <v>0.0215</v>
      </c>
      <c r="O51" s="32">
        <f t="shared" si="24"/>
        <v>0</v>
      </c>
      <c r="Q51" s="32">
        <f t="shared" si="25"/>
        <v>0</v>
      </c>
      <c r="R51" s="32">
        <f t="shared" si="26"/>
        <v>0</v>
      </c>
      <c r="S51" s="32">
        <f t="shared" si="27"/>
        <v>0</v>
      </c>
      <c r="T51" s="32">
        <f t="shared" si="28"/>
        <v>0</v>
      </c>
      <c r="U51" s="32">
        <f t="shared" si="29"/>
        <v>0</v>
      </c>
      <c r="V51" s="32">
        <f t="shared" si="30"/>
        <v>0</v>
      </c>
      <c r="W51" s="32">
        <f t="shared" si="31"/>
        <v>0</v>
      </c>
      <c r="X51" s="26"/>
      <c r="Y51" s="18">
        <f t="shared" si="32"/>
        <v>0</v>
      </c>
      <c r="Z51" s="18">
        <f t="shared" si="33"/>
        <v>0</v>
      </c>
      <c r="AA51" s="18">
        <f t="shared" si="34"/>
        <v>0</v>
      </c>
      <c r="AC51" s="32">
        <v>21</v>
      </c>
      <c r="AD51" s="32">
        <f>G51*1</f>
        <v>0</v>
      </c>
      <c r="AE51" s="32">
        <f>G51*(1-1)</f>
        <v>0</v>
      </c>
      <c r="AF51" s="30" t="s">
        <v>13</v>
      </c>
      <c r="AL51" s="32">
        <f t="shared" si="35"/>
        <v>0</v>
      </c>
      <c r="AM51" s="32">
        <f t="shared" si="36"/>
        <v>0</v>
      </c>
      <c r="AN51" s="33" t="s">
        <v>274</v>
      </c>
      <c r="AO51" s="33" t="s">
        <v>289</v>
      </c>
      <c r="AP51" s="26" t="s">
        <v>293</v>
      </c>
      <c r="AR51" s="32">
        <f t="shared" si="37"/>
        <v>0</v>
      </c>
      <c r="AS51" s="32">
        <f t="shared" si="38"/>
        <v>0</v>
      </c>
      <c r="AT51" s="32">
        <v>0</v>
      </c>
      <c r="AU51" s="32">
        <f t="shared" si="39"/>
        <v>0.0215</v>
      </c>
    </row>
    <row r="52" spans="1:36" ht="12.75">
      <c r="A52" s="6"/>
      <c r="B52" s="14"/>
      <c r="C52" s="14" t="s">
        <v>109</v>
      </c>
      <c r="D52" s="14" t="s">
        <v>193</v>
      </c>
      <c r="E52" s="6" t="s">
        <v>6</v>
      </c>
      <c r="F52" s="6" t="s">
        <v>6</v>
      </c>
      <c r="G52" s="6"/>
      <c r="H52" s="35">
        <f>SUM(H53:H58)</f>
        <v>0</v>
      </c>
      <c r="I52" s="35">
        <f>SUM(I53:I58)</f>
        <v>0</v>
      </c>
      <c r="J52" s="35">
        <f>H52+I52</f>
        <v>0</v>
      </c>
      <c r="K52" s="26"/>
      <c r="L52" s="35">
        <f>SUM(L53:L58)</f>
        <v>0.45368879999999995</v>
      </c>
      <c r="X52" s="26"/>
      <c r="AH52" s="35">
        <f>SUM(Y53:Y58)</f>
        <v>0</v>
      </c>
      <c r="AI52" s="35">
        <f>SUM(Z53:Z58)</f>
        <v>0</v>
      </c>
      <c r="AJ52" s="35">
        <f>SUM(AA53:AA58)</f>
        <v>0</v>
      </c>
    </row>
    <row r="53" spans="1:47" ht="12.75">
      <c r="A53" s="5" t="s">
        <v>37</v>
      </c>
      <c r="B53" s="5"/>
      <c r="C53" s="5" t="s">
        <v>110</v>
      </c>
      <c r="D53" s="5" t="s">
        <v>194</v>
      </c>
      <c r="E53" s="5" t="s">
        <v>237</v>
      </c>
      <c r="F53" s="17">
        <v>16.28</v>
      </c>
      <c r="G53" s="17"/>
      <c r="H53" s="17">
        <f aca="true" t="shared" si="40" ref="H53:H58">F53*AD53</f>
        <v>0</v>
      </c>
      <c r="I53" s="17">
        <f aca="true" t="shared" si="41" ref="I53:I58">J53-H53</f>
        <v>0</v>
      </c>
      <c r="J53" s="17">
        <f aca="true" t="shared" si="42" ref="J53:J58">F53*G53</f>
        <v>0</v>
      </c>
      <c r="K53" s="17">
        <v>0</v>
      </c>
      <c r="L53" s="17">
        <f aca="true" t="shared" si="43" ref="L53:L58">F53*K53</f>
        <v>0</v>
      </c>
      <c r="O53" s="32">
        <f aca="true" t="shared" si="44" ref="O53:O58">IF(AF53="5",J53,0)</f>
        <v>0</v>
      </c>
      <c r="Q53" s="32">
        <f aca="true" t="shared" si="45" ref="Q53:Q58">IF(AF53="1",H53,0)</f>
        <v>0</v>
      </c>
      <c r="R53" s="32">
        <f aca="true" t="shared" si="46" ref="R53:R58">IF(AF53="1",I53,0)</f>
        <v>0</v>
      </c>
      <c r="S53" s="32">
        <f aca="true" t="shared" si="47" ref="S53:S58">IF(AF53="7",H53,0)</f>
        <v>0</v>
      </c>
      <c r="T53" s="32">
        <f aca="true" t="shared" si="48" ref="T53:T58">IF(AF53="7",I53,0)</f>
        <v>0</v>
      </c>
      <c r="U53" s="32">
        <f aca="true" t="shared" si="49" ref="U53:U58">IF(AF53="2",H53,0)</f>
        <v>0</v>
      </c>
      <c r="V53" s="32">
        <f aca="true" t="shared" si="50" ref="V53:V58">IF(AF53="2",I53,0)</f>
        <v>0</v>
      </c>
      <c r="W53" s="32">
        <f aca="true" t="shared" si="51" ref="W53:W58">IF(AF53="0",J53,0)</f>
        <v>0</v>
      </c>
      <c r="X53" s="26"/>
      <c r="Y53" s="17">
        <f aca="true" t="shared" si="52" ref="Y53:Y58">IF(AC53=0,J53,0)</f>
        <v>0</v>
      </c>
      <c r="Z53" s="17">
        <f aca="true" t="shared" si="53" ref="Z53:Z58">IF(AC53=15,J53,0)</f>
        <v>0</v>
      </c>
      <c r="AA53" s="17">
        <f aca="true" t="shared" si="54" ref="AA53:AA58">IF(AC53=21,J53,0)</f>
        <v>0</v>
      </c>
      <c r="AC53" s="32">
        <v>21</v>
      </c>
      <c r="AD53" s="32">
        <f>G53*0</f>
        <v>0</v>
      </c>
      <c r="AE53" s="32">
        <f>G53*(1-0)</f>
        <v>0</v>
      </c>
      <c r="AF53" s="29" t="s">
        <v>13</v>
      </c>
      <c r="AL53" s="32">
        <f aca="true" t="shared" si="55" ref="AL53:AL58">F53*AD53</f>
        <v>0</v>
      </c>
      <c r="AM53" s="32">
        <f aca="true" t="shared" si="56" ref="AM53:AM58">F53*AE53</f>
        <v>0</v>
      </c>
      <c r="AN53" s="33" t="s">
        <v>275</v>
      </c>
      <c r="AO53" s="33" t="s">
        <v>290</v>
      </c>
      <c r="AP53" s="26" t="s">
        <v>293</v>
      </c>
      <c r="AR53" s="32">
        <f aca="true" t="shared" si="57" ref="AR53:AR58">AL53+AM53</f>
        <v>0</v>
      </c>
      <c r="AS53" s="32">
        <f aca="true" t="shared" si="58" ref="AS53:AS58">G53/(100-AT53)*100</f>
        <v>0</v>
      </c>
      <c r="AT53" s="32">
        <v>0</v>
      </c>
      <c r="AU53" s="32">
        <f aca="true" t="shared" si="59" ref="AU53:AU58">L53</f>
        <v>0</v>
      </c>
    </row>
    <row r="54" spans="1:47" ht="12.75">
      <c r="A54" s="5" t="s">
        <v>38</v>
      </c>
      <c r="B54" s="5"/>
      <c r="C54" s="5" t="s">
        <v>111</v>
      </c>
      <c r="D54" s="5" t="s">
        <v>195</v>
      </c>
      <c r="E54" s="5" t="s">
        <v>237</v>
      </c>
      <c r="F54" s="17">
        <v>32.56</v>
      </c>
      <c r="G54" s="17"/>
      <c r="H54" s="17">
        <f t="shared" si="40"/>
        <v>0</v>
      </c>
      <c r="I54" s="17">
        <f t="shared" si="41"/>
        <v>0</v>
      </c>
      <c r="J54" s="17">
        <f t="shared" si="42"/>
        <v>0</v>
      </c>
      <c r="K54" s="17">
        <v>0.00021</v>
      </c>
      <c r="L54" s="17">
        <f t="shared" si="43"/>
        <v>0.006837600000000001</v>
      </c>
      <c r="O54" s="32">
        <f t="shared" si="44"/>
        <v>0</v>
      </c>
      <c r="Q54" s="32">
        <f t="shared" si="45"/>
        <v>0</v>
      </c>
      <c r="R54" s="32">
        <f t="shared" si="46"/>
        <v>0</v>
      </c>
      <c r="S54" s="32">
        <f t="shared" si="47"/>
        <v>0</v>
      </c>
      <c r="T54" s="32">
        <f t="shared" si="48"/>
        <v>0</v>
      </c>
      <c r="U54" s="32">
        <f t="shared" si="49"/>
        <v>0</v>
      </c>
      <c r="V54" s="32">
        <f t="shared" si="50"/>
        <v>0</v>
      </c>
      <c r="W54" s="32">
        <f t="shared" si="51"/>
        <v>0</v>
      </c>
      <c r="X54" s="26"/>
      <c r="Y54" s="17">
        <f t="shared" si="52"/>
        <v>0</v>
      </c>
      <c r="Z54" s="17">
        <f t="shared" si="53"/>
        <v>0</v>
      </c>
      <c r="AA54" s="17">
        <f t="shared" si="54"/>
        <v>0</v>
      </c>
      <c r="AC54" s="32">
        <v>21</v>
      </c>
      <c r="AD54" s="32">
        <f>G54*0.466666666666667</f>
        <v>0</v>
      </c>
      <c r="AE54" s="32">
        <f>G54*(1-0.466666666666667)</f>
        <v>0</v>
      </c>
      <c r="AF54" s="29" t="s">
        <v>13</v>
      </c>
      <c r="AL54" s="32">
        <f t="shared" si="55"/>
        <v>0</v>
      </c>
      <c r="AM54" s="32">
        <f t="shared" si="56"/>
        <v>0</v>
      </c>
      <c r="AN54" s="33" t="s">
        <v>275</v>
      </c>
      <c r="AO54" s="33" t="s">
        <v>290</v>
      </c>
      <c r="AP54" s="26" t="s">
        <v>293</v>
      </c>
      <c r="AR54" s="32">
        <f t="shared" si="57"/>
        <v>0</v>
      </c>
      <c r="AS54" s="32">
        <f t="shared" si="58"/>
        <v>0</v>
      </c>
      <c r="AT54" s="32">
        <v>0</v>
      </c>
      <c r="AU54" s="32">
        <f t="shared" si="59"/>
        <v>0.006837600000000001</v>
      </c>
    </row>
    <row r="55" spans="1:47" ht="12.75">
      <c r="A55" s="5" t="s">
        <v>39</v>
      </c>
      <c r="B55" s="5"/>
      <c r="C55" s="5" t="s">
        <v>112</v>
      </c>
      <c r="D55" s="5" t="s">
        <v>196</v>
      </c>
      <c r="E55" s="5" t="s">
        <v>237</v>
      </c>
      <c r="F55" s="17">
        <v>16.28</v>
      </c>
      <c r="G55" s="17"/>
      <c r="H55" s="17">
        <f t="shared" si="40"/>
        <v>0</v>
      </c>
      <c r="I55" s="17">
        <f t="shared" si="41"/>
        <v>0</v>
      </c>
      <c r="J55" s="17">
        <f t="shared" si="42"/>
        <v>0</v>
      </c>
      <c r="K55" s="17">
        <v>0</v>
      </c>
      <c r="L55" s="17">
        <f t="shared" si="43"/>
        <v>0</v>
      </c>
      <c r="O55" s="32">
        <f t="shared" si="44"/>
        <v>0</v>
      </c>
      <c r="Q55" s="32">
        <f t="shared" si="45"/>
        <v>0</v>
      </c>
      <c r="R55" s="32">
        <f t="shared" si="46"/>
        <v>0</v>
      </c>
      <c r="S55" s="32">
        <f t="shared" si="47"/>
        <v>0</v>
      </c>
      <c r="T55" s="32">
        <f t="shared" si="48"/>
        <v>0</v>
      </c>
      <c r="U55" s="32">
        <f t="shared" si="49"/>
        <v>0</v>
      </c>
      <c r="V55" s="32">
        <f t="shared" si="50"/>
        <v>0</v>
      </c>
      <c r="W55" s="32">
        <f t="shared" si="51"/>
        <v>0</v>
      </c>
      <c r="X55" s="26"/>
      <c r="Y55" s="17">
        <f t="shared" si="52"/>
        <v>0</v>
      </c>
      <c r="Z55" s="17">
        <f t="shared" si="53"/>
        <v>0</v>
      </c>
      <c r="AA55" s="17">
        <f t="shared" si="54"/>
        <v>0</v>
      </c>
      <c r="AC55" s="32">
        <v>21</v>
      </c>
      <c r="AD55" s="32">
        <f>G55*0</f>
        <v>0</v>
      </c>
      <c r="AE55" s="32">
        <f>G55*(1-0)</f>
        <v>0</v>
      </c>
      <c r="AF55" s="29" t="s">
        <v>13</v>
      </c>
      <c r="AL55" s="32">
        <f t="shared" si="55"/>
        <v>0</v>
      </c>
      <c r="AM55" s="32">
        <f t="shared" si="56"/>
        <v>0</v>
      </c>
      <c r="AN55" s="33" t="s">
        <v>275</v>
      </c>
      <c r="AO55" s="33" t="s">
        <v>290</v>
      </c>
      <c r="AP55" s="26" t="s">
        <v>293</v>
      </c>
      <c r="AR55" s="32">
        <f t="shared" si="57"/>
        <v>0</v>
      </c>
      <c r="AS55" s="32">
        <f t="shared" si="58"/>
        <v>0</v>
      </c>
      <c r="AT55" s="32">
        <v>0</v>
      </c>
      <c r="AU55" s="32">
        <f t="shared" si="59"/>
        <v>0</v>
      </c>
    </row>
    <row r="56" spans="1:47" ht="12.75">
      <c r="A56" s="5" t="s">
        <v>40</v>
      </c>
      <c r="B56" s="5"/>
      <c r="C56" s="5" t="s">
        <v>113</v>
      </c>
      <c r="D56" s="5" t="s">
        <v>197</v>
      </c>
      <c r="E56" s="5" t="s">
        <v>237</v>
      </c>
      <c r="F56" s="17">
        <v>16.28</v>
      </c>
      <c r="G56" s="17"/>
      <c r="H56" s="17">
        <f t="shared" si="40"/>
        <v>0</v>
      </c>
      <c r="I56" s="17">
        <f t="shared" si="41"/>
        <v>0</v>
      </c>
      <c r="J56" s="17">
        <f t="shared" si="42"/>
        <v>0</v>
      </c>
      <c r="K56" s="17">
        <v>0.00504</v>
      </c>
      <c r="L56" s="17">
        <f t="shared" si="43"/>
        <v>0.0820512</v>
      </c>
      <c r="O56" s="32">
        <f t="shared" si="44"/>
        <v>0</v>
      </c>
      <c r="Q56" s="32">
        <f t="shared" si="45"/>
        <v>0</v>
      </c>
      <c r="R56" s="32">
        <f t="shared" si="46"/>
        <v>0</v>
      </c>
      <c r="S56" s="32">
        <f t="shared" si="47"/>
        <v>0</v>
      </c>
      <c r="T56" s="32">
        <f t="shared" si="48"/>
        <v>0</v>
      </c>
      <c r="U56" s="32">
        <f t="shared" si="49"/>
        <v>0</v>
      </c>
      <c r="V56" s="32">
        <f t="shared" si="50"/>
        <v>0</v>
      </c>
      <c r="W56" s="32">
        <f t="shared" si="51"/>
        <v>0</v>
      </c>
      <c r="X56" s="26"/>
      <c r="Y56" s="17">
        <f t="shared" si="52"/>
        <v>0</v>
      </c>
      <c r="Z56" s="17">
        <f t="shared" si="53"/>
        <v>0</v>
      </c>
      <c r="AA56" s="17">
        <f t="shared" si="54"/>
        <v>0</v>
      </c>
      <c r="AC56" s="32">
        <v>21</v>
      </c>
      <c r="AD56" s="32">
        <f>G56*0.173321976149915</f>
        <v>0</v>
      </c>
      <c r="AE56" s="32">
        <f>G56*(1-0.173321976149915)</f>
        <v>0</v>
      </c>
      <c r="AF56" s="29" t="s">
        <v>13</v>
      </c>
      <c r="AL56" s="32">
        <f t="shared" si="55"/>
        <v>0</v>
      </c>
      <c r="AM56" s="32">
        <f t="shared" si="56"/>
        <v>0</v>
      </c>
      <c r="AN56" s="33" t="s">
        <v>275</v>
      </c>
      <c r="AO56" s="33" t="s">
        <v>290</v>
      </c>
      <c r="AP56" s="26" t="s">
        <v>293</v>
      </c>
      <c r="AR56" s="32">
        <f t="shared" si="57"/>
        <v>0</v>
      </c>
      <c r="AS56" s="32">
        <f t="shared" si="58"/>
        <v>0</v>
      </c>
      <c r="AT56" s="32">
        <v>0</v>
      </c>
      <c r="AU56" s="32">
        <f t="shared" si="59"/>
        <v>0.0820512</v>
      </c>
    </row>
    <row r="57" spans="1:47" ht="12.75">
      <c r="A57" s="5" t="s">
        <v>41</v>
      </c>
      <c r="B57" s="5"/>
      <c r="C57" s="5" t="s">
        <v>114</v>
      </c>
      <c r="D57" s="5" t="s">
        <v>198</v>
      </c>
      <c r="E57" s="5" t="s">
        <v>241</v>
      </c>
      <c r="F57" s="17">
        <v>0.45369</v>
      </c>
      <c r="G57" s="17"/>
      <c r="H57" s="17">
        <f t="shared" si="40"/>
        <v>0</v>
      </c>
      <c r="I57" s="17">
        <f t="shared" si="41"/>
        <v>0</v>
      </c>
      <c r="J57" s="17">
        <f t="shared" si="42"/>
        <v>0</v>
      </c>
      <c r="K57" s="17">
        <v>0</v>
      </c>
      <c r="L57" s="17">
        <f t="shared" si="43"/>
        <v>0</v>
      </c>
      <c r="O57" s="32">
        <f t="shared" si="44"/>
        <v>0</v>
      </c>
      <c r="Q57" s="32">
        <f t="shared" si="45"/>
        <v>0</v>
      </c>
      <c r="R57" s="32">
        <f t="shared" si="46"/>
        <v>0</v>
      </c>
      <c r="S57" s="32">
        <f t="shared" si="47"/>
        <v>0</v>
      </c>
      <c r="T57" s="32">
        <f t="shared" si="48"/>
        <v>0</v>
      </c>
      <c r="U57" s="32">
        <f t="shared" si="49"/>
        <v>0</v>
      </c>
      <c r="V57" s="32">
        <f t="shared" si="50"/>
        <v>0</v>
      </c>
      <c r="W57" s="32">
        <f t="shared" si="51"/>
        <v>0</v>
      </c>
      <c r="X57" s="26"/>
      <c r="Y57" s="17">
        <f t="shared" si="52"/>
        <v>0</v>
      </c>
      <c r="Z57" s="17">
        <f t="shared" si="53"/>
        <v>0</v>
      </c>
      <c r="AA57" s="17">
        <f t="shared" si="54"/>
        <v>0</v>
      </c>
      <c r="AC57" s="32">
        <v>21</v>
      </c>
      <c r="AD57" s="32">
        <f>G57*0</f>
        <v>0</v>
      </c>
      <c r="AE57" s="32">
        <f>G57*(1-0)</f>
        <v>0</v>
      </c>
      <c r="AF57" s="29" t="s">
        <v>11</v>
      </c>
      <c r="AL57" s="32">
        <f t="shared" si="55"/>
        <v>0</v>
      </c>
      <c r="AM57" s="32">
        <f t="shared" si="56"/>
        <v>0</v>
      </c>
      <c r="AN57" s="33" t="s">
        <v>275</v>
      </c>
      <c r="AO57" s="33" t="s">
        <v>290</v>
      </c>
      <c r="AP57" s="26" t="s">
        <v>293</v>
      </c>
      <c r="AR57" s="32">
        <f t="shared" si="57"/>
        <v>0</v>
      </c>
      <c r="AS57" s="32">
        <f t="shared" si="58"/>
        <v>0</v>
      </c>
      <c r="AT57" s="32">
        <v>0</v>
      </c>
      <c r="AU57" s="32">
        <f t="shared" si="59"/>
        <v>0</v>
      </c>
    </row>
    <row r="58" spans="1:47" ht="12.75">
      <c r="A58" s="7" t="s">
        <v>42</v>
      </c>
      <c r="B58" s="7"/>
      <c r="C58" s="7" t="s">
        <v>115</v>
      </c>
      <c r="D58" s="7" t="s">
        <v>199</v>
      </c>
      <c r="E58" s="7" t="s">
        <v>237</v>
      </c>
      <c r="F58" s="18">
        <v>19</v>
      </c>
      <c r="G58" s="18"/>
      <c r="H58" s="18">
        <f t="shared" si="40"/>
        <v>0</v>
      </c>
      <c r="I58" s="18">
        <f t="shared" si="41"/>
        <v>0</v>
      </c>
      <c r="J58" s="18">
        <f t="shared" si="42"/>
        <v>0</v>
      </c>
      <c r="K58" s="18">
        <v>0.0192</v>
      </c>
      <c r="L58" s="18">
        <f t="shared" si="43"/>
        <v>0.36479999999999996</v>
      </c>
      <c r="O58" s="32">
        <f t="shared" si="44"/>
        <v>0</v>
      </c>
      <c r="Q58" s="32">
        <f t="shared" si="45"/>
        <v>0</v>
      </c>
      <c r="R58" s="32">
        <f t="shared" si="46"/>
        <v>0</v>
      </c>
      <c r="S58" s="32">
        <f t="shared" si="47"/>
        <v>0</v>
      </c>
      <c r="T58" s="32">
        <f t="shared" si="48"/>
        <v>0</v>
      </c>
      <c r="U58" s="32">
        <f t="shared" si="49"/>
        <v>0</v>
      </c>
      <c r="V58" s="32">
        <f t="shared" si="50"/>
        <v>0</v>
      </c>
      <c r="W58" s="32">
        <f t="shared" si="51"/>
        <v>0</v>
      </c>
      <c r="X58" s="26"/>
      <c r="Y58" s="18">
        <f t="shared" si="52"/>
        <v>0</v>
      </c>
      <c r="Z58" s="18">
        <f t="shared" si="53"/>
        <v>0</v>
      </c>
      <c r="AA58" s="18">
        <f t="shared" si="54"/>
        <v>0</v>
      </c>
      <c r="AC58" s="32">
        <v>21</v>
      </c>
      <c r="AD58" s="32">
        <f>G58*1</f>
        <v>0</v>
      </c>
      <c r="AE58" s="32">
        <f>G58*(1-1)</f>
        <v>0</v>
      </c>
      <c r="AF58" s="30" t="s">
        <v>13</v>
      </c>
      <c r="AL58" s="32">
        <f t="shared" si="55"/>
        <v>0</v>
      </c>
      <c r="AM58" s="32">
        <f t="shared" si="56"/>
        <v>0</v>
      </c>
      <c r="AN58" s="33" t="s">
        <v>275</v>
      </c>
      <c r="AO58" s="33" t="s">
        <v>290</v>
      </c>
      <c r="AP58" s="26" t="s">
        <v>293</v>
      </c>
      <c r="AR58" s="32">
        <f t="shared" si="57"/>
        <v>0</v>
      </c>
      <c r="AS58" s="32">
        <f t="shared" si="58"/>
        <v>0</v>
      </c>
      <c r="AT58" s="32">
        <v>0</v>
      </c>
      <c r="AU58" s="32">
        <f t="shared" si="59"/>
        <v>0.36479999999999996</v>
      </c>
    </row>
    <row r="59" spans="1:36" ht="12.75">
      <c r="A59" s="6"/>
      <c r="B59" s="14"/>
      <c r="C59" s="14" t="s">
        <v>116</v>
      </c>
      <c r="D59" s="14" t="s">
        <v>200</v>
      </c>
      <c r="E59" s="6" t="s">
        <v>6</v>
      </c>
      <c r="F59" s="6" t="s">
        <v>6</v>
      </c>
      <c r="G59" s="6"/>
      <c r="H59" s="35">
        <f>SUM(H60:H64)</f>
        <v>0</v>
      </c>
      <c r="I59" s="35">
        <f>SUM(I60:I64)</f>
        <v>0</v>
      </c>
      <c r="J59" s="35">
        <f>H59+I59</f>
        <v>0</v>
      </c>
      <c r="K59" s="26"/>
      <c r="L59" s="35">
        <f>SUM(L60:L64)</f>
        <v>1.2805578000000002</v>
      </c>
      <c r="X59" s="26"/>
      <c r="AH59" s="35">
        <f>SUM(Y60:Y64)</f>
        <v>0</v>
      </c>
      <c r="AI59" s="35">
        <f>SUM(Z60:Z64)</f>
        <v>0</v>
      </c>
      <c r="AJ59" s="35">
        <f>SUM(AA60:AA64)</f>
        <v>0</v>
      </c>
    </row>
    <row r="60" spans="1:47" ht="12.75">
      <c r="A60" s="5" t="s">
        <v>43</v>
      </c>
      <c r="B60" s="5"/>
      <c r="C60" s="5" t="s">
        <v>117</v>
      </c>
      <c r="D60" s="5" t="s">
        <v>201</v>
      </c>
      <c r="E60" s="5" t="s">
        <v>237</v>
      </c>
      <c r="F60" s="17">
        <v>76.54</v>
      </c>
      <c r="G60" s="17"/>
      <c r="H60" s="17">
        <f>F60*AD60</f>
        <v>0</v>
      </c>
      <c r="I60" s="17">
        <f>J60-H60</f>
        <v>0</v>
      </c>
      <c r="J60" s="17">
        <f>F60*G60</f>
        <v>0</v>
      </c>
      <c r="K60" s="17">
        <v>0</v>
      </c>
      <c r="L60" s="17">
        <f>F60*K60</f>
        <v>0</v>
      </c>
      <c r="O60" s="32">
        <f>IF(AF60="5",J60,0)</f>
        <v>0</v>
      </c>
      <c r="Q60" s="32">
        <f>IF(AF60="1",H60,0)</f>
        <v>0</v>
      </c>
      <c r="R60" s="32">
        <f>IF(AF60="1",I60,0)</f>
        <v>0</v>
      </c>
      <c r="S60" s="32">
        <f>IF(AF60="7",H60,0)</f>
        <v>0</v>
      </c>
      <c r="T60" s="32">
        <f>IF(AF60="7",I60,0)</f>
        <v>0</v>
      </c>
      <c r="U60" s="32">
        <f>IF(AF60="2",H60,0)</f>
        <v>0</v>
      </c>
      <c r="V60" s="32">
        <f>IF(AF60="2",I60,0)</f>
        <v>0</v>
      </c>
      <c r="W60" s="32">
        <f>IF(AF60="0",J60,0)</f>
        <v>0</v>
      </c>
      <c r="X60" s="26"/>
      <c r="Y60" s="17">
        <f>IF(AC60=0,J60,0)</f>
        <v>0</v>
      </c>
      <c r="Z60" s="17">
        <f>IF(AC60=15,J60,0)</f>
        <v>0</v>
      </c>
      <c r="AA60" s="17">
        <f>IF(AC60=21,J60,0)</f>
        <v>0</v>
      </c>
      <c r="AC60" s="32">
        <v>21</v>
      </c>
      <c r="AD60" s="32">
        <f>G60*0</f>
        <v>0</v>
      </c>
      <c r="AE60" s="32">
        <f>G60*(1-0)</f>
        <v>0</v>
      </c>
      <c r="AF60" s="29" t="s">
        <v>13</v>
      </c>
      <c r="AL60" s="32">
        <f>F60*AD60</f>
        <v>0</v>
      </c>
      <c r="AM60" s="32">
        <f>F60*AE60</f>
        <v>0</v>
      </c>
      <c r="AN60" s="33" t="s">
        <v>276</v>
      </c>
      <c r="AO60" s="33" t="s">
        <v>291</v>
      </c>
      <c r="AP60" s="26" t="s">
        <v>293</v>
      </c>
      <c r="AR60" s="32">
        <f>AL60+AM60</f>
        <v>0</v>
      </c>
      <c r="AS60" s="32">
        <f>G60/(100-AT60)*100</f>
        <v>0</v>
      </c>
      <c r="AT60" s="32">
        <v>0</v>
      </c>
      <c r="AU60" s="32">
        <f>L60</f>
        <v>0</v>
      </c>
    </row>
    <row r="61" spans="1:47" ht="12.75">
      <c r="A61" s="5" t="s">
        <v>44</v>
      </c>
      <c r="B61" s="5"/>
      <c r="C61" s="5" t="s">
        <v>118</v>
      </c>
      <c r="D61" s="5" t="s">
        <v>202</v>
      </c>
      <c r="E61" s="5" t="s">
        <v>237</v>
      </c>
      <c r="F61" s="17">
        <v>76.54</v>
      </c>
      <c r="G61" s="17"/>
      <c r="H61" s="17">
        <f>F61*AD61</f>
        <v>0</v>
      </c>
      <c r="I61" s="17">
        <f>J61-H61</f>
        <v>0</v>
      </c>
      <c r="J61" s="17">
        <f>F61*G61</f>
        <v>0</v>
      </c>
      <c r="K61" s="17">
        <v>0.00016</v>
      </c>
      <c r="L61" s="17">
        <f>F61*K61</f>
        <v>0.012246400000000003</v>
      </c>
      <c r="O61" s="32">
        <f>IF(AF61="5",J61,0)</f>
        <v>0</v>
      </c>
      <c r="Q61" s="32">
        <f>IF(AF61="1",H61,0)</f>
        <v>0</v>
      </c>
      <c r="R61" s="32">
        <f>IF(AF61="1",I61,0)</f>
        <v>0</v>
      </c>
      <c r="S61" s="32">
        <f>IF(AF61="7",H61,0)</f>
        <v>0</v>
      </c>
      <c r="T61" s="32">
        <f>IF(AF61="7",I61,0)</f>
        <v>0</v>
      </c>
      <c r="U61" s="32">
        <f>IF(AF61="2",H61,0)</f>
        <v>0</v>
      </c>
      <c r="V61" s="32">
        <f>IF(AF61="2",I61,0)</f>
        <v>0</v>
      </c>
      <c r="W61" s="32">
        <f>IF(AF61="0",J61,0)</f>
        <v>0</v>
      </c>
      <c r="X61" s="26"/>
      <c r="Y61" s="17">
        <f>IF(AC61=0,J61,0)</f>
        <v>0</v>
      </c>
      <c r="Z61" s="17">
        <f>IF(AC61=15,J61,0)</f>
        <v>0</v>
      </c>
      <c r="AA61" s="17">
        <f>IF(AC61=21,J61,0)</f>
        <v>0</v>
      </c>
      <c r="AC61" s="32">
        <v>21</v>
      </c>
      <c r="AD61" s="32">
        <f>G61*0.396594178250932</f>
        <v>0</v>
      </c>
      <c r="AE61" s="32">
        <f>G61*(1-0.396594178250932)</f>
        <v>0</v>
      </c>
      <c r="AF61" s="29" t="s">
        <v>13</v>
      </c>
      <c r="AL61" s="32">
        <f>F61*AD61</f>
        <v>0</v>
      </c>
      <c r="AM61" s="32">
        <f>F61*AE61</f>
        <v>0</v>
      </c>
      <c r="AN61" s="33" t="s">
        <v>276</v>
      </c>
      <c r="AO61" s="33" t="s">
        <v>291</v>
      </c>
      <c r="AP61" s="26" t="s">
        <v>293</v>
      </c>
      <c r="AR61" s="32">
        <f>AL61+AM61</f>
        <v>0</v>
      </c>
      <c r="AS61" s="32">
        <f>G61/(100-AT61)*100</f>
        <v>0</v>
      </c>
      <c r="AT61" s="32">
        <v>0</v>
      </c>
      <c r="AU61" s="32">
        <f>L61</f>
        <v>0.012246400000000003</v>
      </c>
    </row>
    <row r="62" spans="1:47" ht="12.75">
      <c r="A62" s="5" t="s">
        <v>45</v>
      </c>
      <c r="B62" s="5"/>
      <c r="C62" s="5" t="s">
        <v>119</v>
      </c>
      <c r="D62" s="56" t="s">
        <v>343</v>
      </c>
      <c r="E62" s="5" t="s">
        <v>237</v>
      </c>
      <c r="F62" s="17">
        <v>76.54</v>
      </c>
      <c r="G62" s="17"/>
      <c r="H62" s="17">
        <f>F62*AD62</f>
        <v>0</v>
      </c>
      <c r="I62" s="17">
        <f>J62-H62</f>
        <v>0</v>
      </c>
      <c r="J62" s="17">
        <f>F62*G62</f>
        <v>0</v>
      </c>
      <c r="K62" s="17">
        <v>0.00491</v>
      </c>
      <c r="L62" s="17">
        <f>F62*K62</f>
        <v>0.3758114000000001</v>
      </c>
      <c r="O62" s="32">
        <f>IF(AF62="5",J62,0)</f>
        <v>0</v>
      </c>
      <c r="Q62" s="32">
        <f>IF(AF62="1",H62,0)</f>
        <v>0</v>
      </c>
      <c r="R62" s="32">
        <f>IF(AF62="1",I62,0)</f>
        <v>0</v>
      </c>
      <c r="S62" s="32">
        <f>IF(AF62="7",H62,0)</f>
        <v>0</v>
      </c>
      <c r="T62" s="32">
        <f>IF(AF62="7",I62,0)</f>
        <v>0</v>
      </c>
      <c r="U62" s="32">
        <f>IF(AF62="2",H62,0)</f>
        <v>0</v>
      </c>
      <c r="V62" s="32">
        <f>IF(AF62="2",I62,0)</f>
        <v>0</v>
      </c>
      <c r="W62" s="32">
        <f>IF(AF62="0",J62,0)</f>
        <v>0</v>
      </c>
      <c r="X62" s="26"/>
      <c r="Y62" s="17">
        <f>IF(AC62=0,J62,0)</f>
        <v>0</v>
      </c>
      <c r="Z62" s="17">
        <f>IF(AC62=15,J62,0)</f>
        <v>0</v>
      </c>
      <c r="AA62" s="17">
        <f>IF(AC62=21,J62,0)</f>
        <v>0</v>
      </c>
      <c r="AC62" s="32">
        <v>21</v>
      </c>
      <c r="AD62" s="32">
        <f>G62*0.137764505119454</f>
        <v>0</v>
      </c>
      <c r="AE62" s="32">
        <f>G62*(1-0.137764505119454)</f>
        <v>0</v>
      </c>
      <c r="AF62" s="29" t="s">
        <v>13</v>
      </c>
      <c r="AL62" s="32">
        <f>F62*AD62</f>
        <v>0</v>
      </c>
      <c r="AM62" s="32">
        <f>F62*AE62</f>
        <v>0</v>
      </c>
      <c r="AN62" s="33" t="s">
        <v>276</v>
      </c>
      <c r="AO62" s="33" t="s">
        <v>291</v>
      </c>
      <c r="AP62" s="26" t="s">
        <v>293</v>
      </c>
      <c r="AR62" s="32">
        <f>AL62+AM62</f>
        <v>0</v>
      </c>
      <c r="AS62" s="32">
        <f>G62/(100-AT62)*100</f>
        <v>0</v>
      </c>
      <c r="AT62" s="32">
        <v>0</v>
      </c>
      <c r="AU62" s="32">
        <f>L62</f>
        <v>0.3758114000000001</v>
      </c>
    </row>
    <row r="63" spans="1:47" ht="12.75">
      <c r="A63" s="7" t="s">
        <v>46</v>
      </c>
      <c r="B63" s="7"/>
      <c r="C63" s="7" t="s">
        <v>120</v>
      </c>
      <c r="D63" s="55" t="s">
        <v>342</v>
      </c>
      <c r="E63" s="7" t="s">
        <v>237</v>
      </c>
      <c r="F63" s="18">
        <v>85</v>
      </c>
      <c r="G63" s="18"/>
      <c r="H63" s="18">
        <f>F63*AD63</f>
        <v>0</v>
      </c>
      <c r="I63" s="18">
        <f>J63-H63</f>
        <v>0</v>
      </c>
      <c r="J63" s="18">
        <f>F63*G63</f>
        <v>0</v>
      </c>
      <c r="K63" s="18">
        <v>0.0105</v>
      </c>
      <c r="L63" s="18">
        <f>F63*K63</f>
        <v>0.8925000000000001</v>
      </c>
      <c r="O63" s="32">
        <f>IF(AF63="5",J63,0)</f>
        <v>0</v>
      </c>
      <c r="Q63" s="32">
        <f>IF(AF63="1",H63,0)</f>
        <v>0</v>
      </c>
      <c r="R63" s="32">
        <f>IF(AF63="1",I63,0)</f>
        <v>0</v>
      </c>
      <c r="S63" s="32">
        <f>IF(AF63="7",H63,0)</f>
        <v>0</v>
      </c>
      <c r="T63" s="32">
        <f>IF(AF63="7",I63,0)</f>
        <v>0</v>
      </c>
      <c r="U63" s="32">
        <f>IF(AF63="2",H63,0)</f>
        <v>0</v>
      </c>
      <c r="V63" s="32">
        <f>IF(AF63="2",I63,0)</f>
        <v>0</v>
      </c>
      <c r="W63" s="32">
        <f>IF(AF63="0",J63,0)</f>
        <v>0</v>
      </c>
      <c r="X63" s="26"/>
      <c r="Y63" s="18">
        <f>IF(AC63=0,J63,0)</f>
        <v>0</v>
      </c>
      <c r="Z63" s="18">
        <f>IF(AC63=15,J63,0)</f>
        <v>0</v>
      </c>
      <c r="AA63" s="18">
        <f>IF(AC63=21,J63,0)</f>
        <v>0</v>
      </c>
      <c r="AC63" s="32">
        <v>21</v>
      </c>
      <c r="AD63" s="32">
        <f>G63*1</f>
        <v>0</v>
      </c>
      <c r="AE63" s="32">
        <f>G63*(1-1)</f>
        <v>0</v>
      </c>
      <c r="AF63" s="30" t="s">
        <v>13</v>
      </c>
      <c r="AL63" s="32">
        <f>F63*AD63</f>
        <v>0</v>
      </c>
      <c r="AM63" s="32">
        <f>F63*AE63</f>
        <v>0</v>
      </c>
      <c r="AN63" s="33" t="s">
        <v>276</v>
      </c>
      <c r="AO63" s="33" t="s">
        <v>291</v>
      </c>
      <c r="AP63" s="26" t="s">
        <v>293</v>
      </c>
      <c r="AR63" s="32">
        <f>AL63+AM63</f>
        <v>0</v>
      </c>
      <c r="AS63" s="32">
        <f>G63/(100-AT63)*100</f>
        <v>0</v>
      </c>
      <c r="AT63" s="32">
        <v>0</v>
      </c>
      <c r="AU63" s="32">
        <f>L63</f>
        <v>0.8925000000000001</v>
      </c>
    </row>
    <row r="64" spans="1:47" ht="12.75">
      <c r="A64" s="5" t="s">
        <v>47</v>
      </c>
      <c r="B64" s="5"/>
      <c r="C64" s="5" t="s">
        <v>121</v>
      </c>
      <c r="D64" s="5" t="s">
        <v>203</v>
      </c>
      <c r="E64" s="5" t="s">
        <v>241</v>
      </c>
      <c r="F64" s="17">
        <v>1.28056</v>
      </c>
      <c r="G64" s="17"/>
      <c r="H64" s="17">
        <f>F64*AD64</f>
        <v>0</v>
      </c>
      <c r="I64" s="17">
        <f>J64-H64</f>
        <v>0</v>
      </c>
      <c r="J64" s="17">
        <f>F64*G64</f>
        <v>0</v>
      </c>
      <c r="K64" s="17">
        <v>0</v>
      </c>
      <c r="L64" s="17">
        <f>F64*K64</f>
        <v>0</v>
      </c>
      <c r="O64" s="32">
        <f>IF(AF64="5",J64,0)</f>
        <v>0</v>
      </c>
      <c r="Q64" s="32">
        <f>IF(AF64="1",H64,0)</f>
        <v>0</v>
      </c>
      <c r="R64" s="32">
        <f>IF(AF64="1",I64,0)</f>
        <v>0</v>
      </c>
      <c r="S64" s="32">
        <f>IF(AF64="7",H64,0)</f>
        <v>0</v>
      </c>
      <c r="T64" s="32">
        <f>IF(AF64="7",I64,0)</f>
        <v>0</v>
      </c>
      <c r="U64" s="32">
        <f>IF(AF64="2",H64,0)</f>
        <v>0</v>
      </c>
      <c r="V64" s="32">
        <f>IF(AF64="2",I64,0)</f>
        <v>0</v>
      </c>
      <c r="W64" s="32">
        <f>IF(AF64="0",J64,0)</f>
        <v>0</v>
      </c>
      <c r="X64" s="26"/>
      <c r="Y64" s="17">
        <f>IF(AC64=0,J64,0)</f>
        <v>0</v>
      </c>
      <c r="Z64" s="17">
        <f>IF(AC64=15,J64,0)</f>
        <v>0</v>
      </c>
      <c r="AA64" s="17">
        <f>IF(AC64=21,J64,0)</f>
        <v>0</v>
      </c>
      <c r="AC64" s="32">
        <v>21</v>
      </c>
      <c r="AD64" s="32">
        <f>G64*0</f>
        <v>0</v>
      </c>
      <c r="AE64" s="32">
        <f>G64*(1-0)</f>
        <v>0</v>
      </c>
      <c r="AF64" s="29" t="s">
        <v>11</v>
      </c>
      <c r="AL64" s="32">
        <f>F64*AD64</f>
        <v>0</v>
      </c>
      <c r="AM64" s="32">
        <f>F64*AE64</f>
        <v>0</v>
      </c>
      <c r="AN64" s="33" t="s">
        <v>276</v>
      </c>
      <c r="AO64" s="33" t="s">
        <v>291</v>
      </c>
      <c r="AP64" s="26" t="s">
        <v>293</v>
      </c>
      <c r="AR64" s="32">
        <f>AL64+AM64</f>
        <v>0</v>
      </c>
      <c r="AS64" s="32">
        <f>G64/(100-AT64)*100</f>
        <v>0</v>
      </c>
      <c r="AT64" s="32">
        <v>0</v>
      </c>
      <c r="AU64" s="32">
        <f>L64</f>
        <v>0</v>
      </c>
    </row>
    <row r="65" spans="1:36" ht="12.75">
      <c r="A65" s="6"/>
      <c r="B65" s="14"/>
      <c r="C65" s="14" t="s">
        <v>122</v>
      </c>
      <c r="D65" s="14" t="s">
        <v>204</v>
      </c>
      <c r="E65" s="6" t="s">
        <v>6</v>
      </c>
      <c r="F65" s="6" t="s">
        <v>6</v>
      </c>
      <c r="G65" s="6"/>
      <c r="H65" s="35">
        <f>SUM(H66:H66)</f>
        <v>0</v>
      </c>
      <c r="I65" s="35">
        <f>SUM(I66:I66)</f>
        <v>0</v>
      </c>
      <c r="J65" s="35">
        <f>H65+I65</f>
        <v>0</v>
      </c>
      <c r="K65" s="26"/>
      <c r="L65" s="35">
        <f>SUM(L66:L66)</f>
        <v>0.00041</v>
      </c>
      <c r="X65" s="26"/>
      <c r="AH65" s="35">
        <f>SUM(Y66:Y66)</f>
        <v>0</v>
      </c>
      <c r="AI65" s="35">
        <f>SUM(Z66:Z66)</f>
        <v>0</v>
      </c>
      <c r="AJ65" s="35">
        <f>SUM(AA66:AA66)</f>
        <v>0</v>
      </c>
    </row>
    <row r="66" spans="1:47" ht="12.75">
      <c r="A66" s="5" t="s">
        <v>48</v>
      </c>
      <c r="B66" s="5"/>
      <c r="C66" s="5" t="s">
        <v>123</v>
      </c>
      <c r="D66" s="5" t="s">
        <v>205</v>
      </c>
      <c r="E66" s="5" t="s">
        <v>240</v>
      </c>
      <c r="F66" s="17">
        <v>1</v>
      </c>
      <c r="G66" s="17"/>
      <c r="H66" s="17">
        <f>F66*AD66</f>
        <v>0</v>
      </c>
      <c r="I66" s="17">
        <f>J66-H66</f>
        <v>0</v>
      </c>
      <c r="J66" s="17">
        <f>F66*G66</f>
        <v>0</v>
      </c>
      <c r="K66" s="17">
        <v>0.00041</v>
      </c>
      <c r="L66" s="17">
        <f>F66*K66</f>
        <v>0.00041</v>
      </c>
      <c r="O66" s="32">
        <f>IF(AF66="5",J66,0)</f>
        <v>0</v>
      </c>
      <c r="Q66" s="32">
        <f>IF(AF66="1",H66,0)</f>
        <v>0</v>
      </c>
      <c r="R66" s="32">
        <f>IF(AF66="1",I66,0)</f>
        <v>0</v>
      </c>
      <c r="S66" s="32">
        <f>IF(AF66="7",H66,0)</f>
        <v>0</v>
      </c>
      <c r="T66" s="32">
        <f>IF(AF66="7",I66,0)</f>
        <v>0</v>
      </c>
      <c r="U66" s="32">
        <f>IF(AF66="2",H66,0)</f>
        <v>0</v>
      </c>
      <c r="V66" s="32">
        <f>IF(AF66="2",I66,0)</f>
        <v>0</v>
      </c>
      <c r="W66" s="32">
        <f>IF(AF66="0",J66,0)</f>
        <v>0</v>
      </c>
      <c r="X66" s="26"/>
      <c r="Y66" s="17">
        <f>IF(AC66=0,J66,0)</f>
        <v>0</v>
      </c>
      <c r="Z66" s="17">
        <f>IF(AC66=15,J66,0)</f>
        <v>0</v>
      </c>
      <c r="AA66" s="17">
        <f>IF(AC66=21,J66,0)</f>
        <v>0</v>
      </c>
      <c r="AC66" s="32">
        <v>21</v>
      </c>
      <c r="AD66" s="32">
        <f>G66*0.478142857142857</f>
        <v>0</v>
      </c>
      <c r="AE66" s="32">
        <f>G66*(1-0.478142857142857)</f>
        <v>0</v>
      </c>
      <c r="AF66" s="29" t="s">
        <v>13</v>
      </c>
      <c r="AL66" s="32">
        <f>F66*AD66</f>
        <v>0</v>
      </c>
      <c r="AM66" s="32">
        <f>F66*AE66</f>
        <v>0</v>
      </c>
      <c r="AN66" s="33" t="s">
        <v>277</v>
      </c>
      <c r="AO66" s="33" t="s">
        <v>291</v>
      </c>
      <c r="AP66" s="26" t="s">
        <v>293</v>
      </c>
      <c r="AR66" s="32">
        <f>AL66+AM66</f>
        <v>0</v>
      </c>
      <c r="AS66" s="32">
        <f>G66/(100-AT66)*100</f>
        <v>0</v>
      </c>
      <c r="AT66" s="32">
        <v>0</v>
      </c>
      <c r="AU66" s="32">
        <f>L66</f>
        <v>0.00041</v>
      </c>
    </row>
    <row r="67" spans="1:36" ht="12.75">
      <c r="A67" s="6"/>
      <c r="B67" s="14"/>
      <c r="C67" s="14" t="s">
        <v>124</v>
      </c>
      <c r="D67" s="14" t="s">
        <v>206</v>
      </c>
      <c r="E67" s="6" t="s">
        <v>6</v>
      </c>
      <c r="F67" s="6" t="s">
        <v>6</v>
      </c>
      <c r="G67" s="6"/>
      <c r="H67" s="35">
        <f>SUM(H68:H71)</f>
        <v>0</v>
      </c>
      <c r="I67" s="35">
        <f>SUM(I68:I71)</f>
        <v>0</v>
      </c>
      <c r="J67" s="35">
        <f>H67+I67</f>
        <v>0</v>
      </c>
      <c r="K67" s="26"/>
      <c r="L67" s="35">
        <f>SUM(L68:L71)</f>
        <v>0.027052479999999997</v>
      </c>
      <c r="X67" s="26"/>
      <c r="AH67" s="35">
        <f>SUM(Y68:Y71)</f>
        <v>0</v>
      </c>
      <c r="AI67" s="35">
        <f>SUM(Z68:Z71)</f>
        <v>0</v>
      </c>
      <c r="AJ67" s="35">
        <f>SUM(AA68:AA71)</f>
        <v>0</v>
      </c>
    </row>
    <row r="68" spans="1:47" ht="12.75">
      <c r="A68" s="5" t="s">
        <v>49</v>
      </c>
      <c r="B68" s="5"/>
      <c r="C68" s="5" t="s">
        <v>125</v>
      </c>
      <c r="D68" s="5" t="s">
        <v>207</v>
      </c>
      <c r="E68" s="5" t="s">
        <v>237</v>
      </c>
      <c r="F68" s="17">
        <v>33.18</v>
      </c>
      <c r="G68" s="17"/>
      <c r="H68" s="17">
        <f>F68*AD68</f>
        <v>0</v>
      </c>
      <c r="I68" s="17">
        <f>J68-H68</f>
        <v>0</v>
      </c>
      <c r="J68" s="17">
        <f>F68*G68</f>
        <v>0</v>
      </c>
      <c r="K68" s="17">
        <v>0</v>
      </c>
      <c r="L68" s="17">
        <f>F68*K68</f>
        <v>0</v>
      </c>
      <c r="O68" s="32">
        <f>IF(AF68="5",J68,0)</f>
        <v>0</v>
      </c>
      <c r="Q68" s="32">
        <f>IF(AF68="1",H68,0)</f>
        <v>0</v>
      </c>
      <c r="R68" s="32">
        <f>IF(AF68="1",I68,0)</f>
        <v>0</v>
      </c>
      <c r="S68" s="32">
        <f>IF(AF68="7",H68,0)</f>
        <v>0</v>
      </c>
      <c r="T68" s="32">
        <f>IF(AF68="7",I68,0)</f>
        <v>0</v>
      </c>
      <c r="U68" s="32">
        <f>IF(AF68="2",H68,0)</f>
        <v>0</v>
      </c>
      <c r="V68" s="32">
        <f>IF(AF68="2",I68,0)</f>
        <v>0</v>
      </c>
      <c r="W68" s="32">
        <f>IF(AF68="0",J68,0)</f>
        <v>0</v>
      </c>
      <c r="X68" s="26"/>
      <c r="Y68" s="17">
        <f>IF(AC68=0,J68,0)</f>
        <v>0</v>
      </c>
      <c r="Z68" s="17">
        <f>IF(AC68=15,J68,0)</f>
        <v>0</v>
      </c>
      <c r="AA68" s="17">
        <f>IF(AC68=21,J68,0)</f>
        <v>0</v>
      </c>
      <c r="AC68" s="32">
        <v>21</v>
      </c>
      <c r="AD68" s="32">
        <f>G68*0.00271002168961167</f>
        <v>0</v>
      </c>
      <c r="AE68" s="32">
        <f>G68*(1-0.00271002168961167)</f>
        <v>0</v>
      </c>
      <c r="AF68" s="29" t="s">
        <v>13</v>
      </c>
      <c r="AL68" s="32">
        <f>F68*AD68</f>
        <v>0</v>
      </c>
      <c r="AM68" s="32">
        <f>F68*AE68</f>
        <v>0</v>
      </c>
      <c r="AN68" s="33" t="s">
        <v>278</v>
      </c>
      <c r="AO68" s="33" t="s">
        <v>291</v>
      </c>
      <c r="AP68" s="26" t="s">
        <v>293</v>
      </c>
      <c r="AR68" s="32">
        <f>AL68+AM68</f>
        <v>0</v>
      </c>
      <c r="AS68" s="32">
        <f>G68/(100-AT68)*100</f>
        <v>0</v>
      </c>
      <c r="AT68" s="32">
        <v>0</v>
      </c>
      <c r="AU68" s="32">
        <f>L68</f>
        <v>0</v>
      </c>
    </row>
    <row r="69" spans="1:47" ht="12.75">
      <c r="A69" s="5" t="s">
        <v>50</v>
      </c>
      <c r="B69" s="5"/>
      <c r="C69" s="5" t="s">
        <v>126</v>
      </c>
      <c r="D69" s="5" t="s">
        <v>208</v>
      </c>
      <c r="E69" s="5" t="s">
        <v>237</v>
      </c>
      <c r="F69" s="17">
        <v>47.744</v>
      </c>
      <c r="G69" s="17"/>
      <c r="H69" s="17">
        <f>F69*AD69</f>
        <v>0</v>
      </c>
      <c r="I69" s="17">
        <f>J69-H69</f>
        <v>0</v>
      </c>
      <c r="J69" s="17">
        <f>F69*G69</f>
        <v>0</v>
      </c>
      <c r="K69" s="17">
        <v>0.0002</v>
      </c>
      <c r="L69" s="17">
        <f>F69*K69</f>
        <v>0.0095488</v>
      </c>
      <c r="O69" s="32">
        <f>IF(AF69="5",J69,0)</f>
        <v>0</v>
      </c>
      <c r="Q69" s="32">
        <f>IF(AF69="1",H69,0)</f>
        <v>0</v>
      </c>
      <c r="R69" s="32">
        <f>IF(AF69="1",I69,0)</f>
        <v>0</v>
      </c>
      <c r="S69" s="32">
        <f>IF(AF69="7",H69,0)</f>
        <v>0</v>
      </c>
      <c r="T69" s="32">
        <f>IF(AF69="7",I69,0)</f>
        <v>0</v>
      </c>
      <c r="U69" s="32">
        <f>IF(AF69="2",H69,0)</f>
        <v>0</v>
      </c>
      <c r="V69" s="32">
        <f>IF(AF69="2",I69,0)</f>
        <v>0</v>
      </c>
      <c r="W69" s="32">
        <f>IF(AF69="0",J69,0)</f>
        <v>0</v>
      </c>
      <c r="X69" s="26"/>
      <c r="Y69" s="17">
        <f>IF(AC69=0,J69,0)</f>
        <v>0</v>
      </c>
      <c r="Z69" s="17">
        <f>IF(AC69=15,J69,0)</f>
        <v>0</v>
      </c>
      <c r="AA69" s="17">
        <f>IF(AC69=21,J69,0)</f>
        <v>0</v>
      </c>
      <c r="AC69" s="32">
        <v>21</v>
      </c>
      <c r="AD69" s="32">
        <f>G69*0.402945458381686</f>
        <v>0</v>
      </c>
      <c r="AE69" s="32">
        <f>G69*(1-0.402945458381686)</f>
        <v>0</v>
      </c>
      <c r="AF69" s="29" t="s">
        <v>13</v>
      </c>
      <c r="AL69" s="32">
        <f>F69*AD69</f>
        <v>0</v>
      </c>
      <c r="AM69" s="32">
        <f>F69*AE69</f>
        <v>0</v>
      </c>
      <c r="AN69" s="33" t="s">
        <v>278</v>
      </c>
      <c r="AO69" s="33" t="s">
        <v>291</v>
      </c>
      <c r="AP69" s="26" t="s">
        <v>293</v>
      </c>
      <c r="AR69" s="32">
        <f>AL69+AM69</f>
        <v>0</v>
      </c>
      <c r="AS69" s="32">
        <f>G69/(100-AT69)*100</f>
        <v>0</v>
      </c>
      <c r="AT69" s="32">
        <v>0</v>
      </c>
      <c r="AU69" s="32">
        <f>L69</f>
        <v>0.0095488</v>
      </c>
    </row>
    <row r="70" spans="1:47" ht="12.75">
      <c r="A70" s="5" t="s">
        <v>51</v>
      </c>
      <c r="B70" s="5"/>
      <c r="C70" s="5" t="s">
        <v>127</v>
      </c>
      <c r="D70" s="5" t="s">
        <v>209</v>
      </c>
      <c r="E70" s="5" t="s">
        <v>237</v>
      </c>
      <c r="F70" s="17">
        <v>47.744</v>
      </c>
      <c r="G70" s="17"/>
      <c r="H70" s="17">
        <f>F70*AD70</f>
        <v>0</v>
      </c>
      <c r="I70" s="17">
        <f>J70-H70</f>
        <v>0</v>
      </c>
      <c r="J70" s="17">
        <f>F70*G70</f>
        <v>0</v>
      </c>
      <c r="K70" s="17">
        <v>0.00022</v>
      </c>
      <c r="L70" s="17">
        <f>F70*K70</f>
        <v>0.01050368</v>
      </c>
      <c r="O70" s="32">
        <f>IF(AF70="5",J70,0)</f>
        <v>0</v>
      </c>
      <c r="Q70" s="32">
        <f>IF(AF70="1",H70,0)</f>
        <v>0</v>
      </c>
      <c r="R70" s="32">
        <f>IF(AF70="1",I70,0)</f>
        <v>0</v>
      </c>
      <c r="S70" s="32">
        <f>IF(AF70="7",H70,0)</f>
        <v>0</v>
      </c>
      <c r="T70" s="32">
        <f>IF(AF70="7",I70,0)</f>
        <v>0</v>
      </c>
      <c r="U70" s="32">
        <f>IF(AF70="2",H70,0)</f>
        <v>0</v>
      </c>
      <c r="V70" s="32">
        <f>IF(AF70="2",I70,0)</f>
        <v>0</v>
      </c>
      <c r="W70" s="32">
        <f>IF(AF70="0",J70,0)</f>
        <v>0</v>
      </c>
      <c r="X70" s="26"/>
      <c r="Y70" s="17">
        <f>IF(AC70=0,J70,0)</f>
        <v>0</v>
      </c>
      <c r="Z70" s="17">
        <f>IF(AC70=15,J70,0)</f>
        <v>0</v>
      </c>
      <c r="AA70" s="17">
        <f>IF(AC70=21,J70,0)</f>
        <v>0</v>
      </c>
      <c r="AC70" s="32">
        <v>21</v>
      </c>
      <c r="AD70" s="32">
        <f>G70*0.0925125850928357</f>
        <v>0</v>
      </c>
      <c r="AE70" s="32">
        <f>G70*(1-0.0925125850928357)</f>
        <v>0</v>
      </c>
      <c r="AF70" s="29" t="s">
        <v>13</v>
      </c>
      <c r="AL70" s="32">
        <f>F70*AD70</f>
        <v>0</v>
      </c>
      <c r="AM70" s="32">
        <f>F70*AE70</f>
        <v>0</v>
      </c>
      <c r="AN70" s="33" t="s">
        <v>278</v>
      </c>
      <c r="AO70" s="33" t="s">
        <v>291</v>
      </c>
      <c r="AP70" s="26" t="s">
        <v>293</v>
      </c>
      <c r="AR70" s="32">
        <f>AL70+AM70</f>
        <v>0</v>
      </c>
      <c r="AS70" s="32">
        <f>G70/(100-AT70)*100</f>
        <v>0</v>
      </c>
      <c r="AT70" s="32">
        <v>0</v>
      </c>
      <c r="AU70" s="32">
        <f>L70</f>
        <v>0.01050368</v>
      </c>
    </row>
    <row r="71" spans="1:47" ht="12.75">
      <c r="A71" s="5" t="s">
        <v>52</v>
      </c>
      <c r="B71" s="5"/>
      <c r="C71" s="5" t="s">
        <v>128</v>
      </c>
      <c r="D71" s="5" t="s">
        <v>210</v>
      </c>
      <c r="E71" s="5" t="s">
        <v>237</v>
      </c>
      <c r="F71" s="17">
        <v>20</v>
      </c>
      <c r="G71" s="17"/>
      <c r="H71" s="17">
        <f>F71*AD71</f>
        <v>0</v>
      </c>
      <c r="I71" s="17">
        <f>J71-H71</f>
        <v>0</v>
      </c>
      <c r="J71" s="17">
        <f>F71*G71</f>
        <v>0</v>
      </c>
      <c r="K71" s="17">
        <v>0.00035</v>
      </c>
      <c r="L71" s="17">
        <f>F71*K71</f>
        <v>0.007</v>
      </c>
      <c r="O71" s="32">
        <f>IF(AF71="5",J71,0)</f>
        <v>0</v>
      </c>
      <c r="Q71" s="32">
        <f>IF(AF71="1",H71,0)</f>
        <v>0</v>
      </c>
      <c r="R71" s="32">
        <f>IF(AF71="1",I71,0)</f>
        <v>0</v>
      </c>
      <c r="S71" s="32">
        <f>IF(AF71="7",H71,0)</f>
        <v>0</v>
      </c>
      <c r="T71" s="32">
        <f>IF(AF71="7",I71,0)</f>
        <v>0</v>
      </c>
      <c r="U71" s="32">
        <f>IF(AF71="2",H71,0)</f>
        <v>0</v>
      </c>
      <c r="V71" s="32">
        <f>IF(AF71="2",I71,0)</f>
        <v>0</v>
      </c>
      <c r="W71" s="32">
        <f>IF(AF71="0",J71,0)</f>
        <v>0</v>
      </c>
      <c r="X71" s="26"/>
      <c r="Y71" s="17">
        <f>IF(AC71=0,J71,0)</f>
        <v>0</v>
      </c>
      <c r="Z71" s="17">
        <f>IF(AC71=15,J71,0)</f>
        <v>0</v>
      </c>
      <c r="AA71" s="17">
        <f>IF(AC71=21,J71,0)</f>
        <v>0</v>
      </c>
      <c r="AC71" s="32">
        <v>21</v>
      </c>
      <c r="AD71" s="32">
        <f>G71*0.592356687898089</f>
        <v>0</v>
      </c>
      <c r="AE71" s="32">
        <f>G71*(1-0.592356687898089)</f>
        <v>0</v>
      </c>
      <c r="AF71" s="29" t="s">
        <v>13</v>
      </c>
      <c r="AL71" s="32">
        <f>F71*AD71</f>
        <v>0</v>
      </c>
      <c r="AM71" s="32">
        <f>F71*AE71</f>
        <v>0</v>
      </c>
      <c r="AN71" s="33" t="s">
        <v>278</v>
      </c>
      <c r="AO71" s="33" t="s">
        <v>291</v>
      </c>
      <c r="AP71" s="26" t="s">
        <v>293</v>
      </c>
      <c r="AR71" s="32">
        <f>AL71+AM71</f>
        <v>0</v>
      </c>
      <c r="AS71" s="32">
        <f>G71/(100-AT71)*100</f>
        <v>0</v>
      </c>
      <c r="AT71" s="32">
        <v>0</v>
      </c>
      <c r="AU71" s="32">
        <f>L71</f>
        <v>0.007</v>
      </c>
    </row>
    <row r="72" spans="1:36" ht="12.75">
      <c r="A72" s="6"/>
      <c r="B72" s="14"/>
      <c r="C72" s="14" t="s">
        <v>129</v>
      </c>
      <c r="D72" s="14" t="s">
        <v>211</v>
      </c>
      <c r="E72" s="6" t="s">
        <v>6</v>
      </c>
      <c r="F72" s="6" t="s">
        <v>6</v>
      </c>
      <c r="G72" s="6"/>
      <c r="H72" s="35">
        <f>SUM(H73:H73)</f>
        <v>0</v>
      </c>
      <c r="I72" s="35">
        <f>SUM(I73:I73)</f>
        <v>0</v>
      </c>
      <c r="J72" s="35">
        <f>H72+I72</f>
        <v>0</v>
      </c>
      <c r="K72" s="26"/>
      <c r="L72" s="35">
        <f>SUM(L73:L73)</f>
        <v>0.09012608</v>
      </c>
      <c r="X72" s="26"/>
      <c r="AH72" s="35">
        <f>SUM(Y73:Y73)</f>
        <v>0</v>
      </c>
      <c r="AI72" s="35">
        <f>SUM(Z73:Z73)</f>
        <v>0</v>
      </c>
      <c r="AJ72" s="35">
        <f>SUM(AA73:AA73)</f>
        <v>0</v>
      </c>
    </row>
    <row r="73" spans="1:47" ht="12.75">
      <c r="A73" s="5" t="s">
        <v>53</v>
      </c>
      <c r="B73" s="5"/>
      <c r="C73" s="5" t="s">
        <v>130</v>
      </c>
      <c r="D73" s="5" t="s">
        <v>212</v>
      </c>
      <c r="E73" s="5" t="s">
        <v>237</v>
      </c>
      <c r="F73" s="17">
        <v>15.224</v>
      </c>
      <c r="G73" s="17"/>
      <c r="H73" s="17">
        <f>F73*AD73</f>
        <v>0</v>
      </c>
      <c r="I73" s="17">
        <f>J73-H73</f>
        <v>0</v>
      </c>
      <c r="J73" s="17">
        <f>F73*G73</f>
        <v>0</v>
      </c>
      <c r="K73" s="17">
        <v>0.00592</v>
      </c>
      <c r="L73" s="17">
        <f>F73*K73</f>
        <v>0.09012608</v>
      </c>
      <c r="O73" s="32">
        <f>IF(AF73="5",J73,0)</f>
        <v>0</v>
      </c>
      <c r="Q73" s="32">
        <f>IF(AF73="1",H73,0)</f>
        <v>0</v>
      </c>
      <c r="R73" s="32">
        <f>IF(AF73="1",I73,0)</f>
        <v>0</v>
      </c>
      <c r="S73" s="32">
        <f>IF(AF73="7",H73,0)</f>
        <v>0</v>
      </c>
      <c r="T73" s="32">
        <f>IF(AF73="7",I73,0)</f>
        <v>0</v>
      </c>
      <c r="U73" s="32">
        <f>IF(AF73="2",H73,0)</f>
        <v>0</v>
      </c>
      <c r="V73" s="32">
        <f>IF(AF73="2",I73,0)</f>
        <v>0</v>
      </c>
      <c r="W73" s="32">
        <f>IF(AF73="0",J73,0)</f>
        <v>0</v>
      </c>
      <c r="X73" s="26"/>
      <c r="Y73" s="17">
        <f>IF(AC73=0,J73,0)</f>
        <v>0</v>
      </c>
      <c r="Z73" s="17">
        <f>IF(AC73=15,J73,0)</f>
        <v>0</v>
      </c>
      <c r="AA73" s="17">
        <f>IF(AC73=21,J73,0)</f>
        <v>0</v>
      </c>
      <c r="AC73" s="32">
        <v>21</v>
      </c>
      <c r="AD73" s="32">
        <f>G73*0.422333333333333</f>
        <v>0</v>
      </c>
      <c r="AE73" s="32">
        <f>G73*(1-0.422333333333333)</f>
        <v>0</v>
      </c>
      <c r="AF73" s="29" t="s">
        <v>7</v>
      </c>
      <c r="AL73" s="32">
        <f>F73*AD73</f>
        <v>0</v>
      </c>
      <c r="AM73" s="32">
        <f>F73*AE73</f>
        <v>0</v>
      </c>
      <c r="AN73" s="33" t="s">
        <v>279</v>
      </c>
      <c r="AO73" s="33" t="s">
        <v>292</v>
      </c>
      <c r="AP73" s="26" t="s">
        <v>293</v>
      </c>
      <c r="AR73" s="32">
        <f>AL73+AM73</f>
        <v>0</v>
      </c>
      <c r="AS73" s="32">
        <f>G73/(100-AT73)*100</f>
        <v>0</v>
      </c>
      <c r="AT73" s="32">
        <v>0</v>
      </c>
      <c r="AU73" s="32">
        <f>L73</f>
        <v>0.09012608</v>
      </c>
    </row>
    <row r="74" spans="1:36" ht="12.75">
      <c r="A74" s="6"/>
      <c r="B74" s="14"/>
      <c r="C74" s="14" t="s">
        <v>131</v>
      </c>
      <c r="D74" s="14" t="s">
        <v>213</v>
      </c>
      <c r="E74" s="6" t="s">
        <v>6</v>
      </c>
      <c r="F74" s="6" t="s">
        <v>6</v>
      </c>
      <c r="G74" s="6"/>
      <c r="H74" s="35">
        <f>SUM(H75:H79)</f>
        <v>0</v>
      </c>
      <c r="I74" s="35">
        <f>SUM(I75:I79)</f>
        <v>0</v>
      </c>
      <c r="J74" s="35">
        <f>H74+I74</f>
        <v>0</v>
      </c>
      <c r="K74" s="26"/>
      <c r="L74" s="35">
        <f>SUM(L76:L79)</f>
        <v>1.315175</v>
      </c>
      <c r="X74" s="26"/>
      <c r="AH74" s="35">
        <f>SUM(Y76:Y79)</f>
        <v>0</v>
      </c>
      <c r="AI74" s="35">
        <f>SUM(Z76:Z79)</f>
        <v>0</v>
      </c>
      <c r="AJ74" s="35">
        <f>SUM(AA76:AA79)</f>
        <v>0</v>
      </c>
    </row>
    <row r="75" spans="1:36" ht="12.75">
      <c r="A75" s="52" t="s">
        <v>54</v>
      </c>
      <c r="B75" s="53"/>
      <c r="C75" s="54" t="s">
        <v>341</v>
      </c>
      <c r="D75" s="54" t="s">
        <v>344</v>
      </c>
      <c r="E75" s="54" t="s">
        <v>345</v>
      </c>
      <c r="F75" s="58" t="s">
        <v>346</v>
      </c>
      <c r="G75" s="58"/>
      <c r="H75" s="57">
        <v>0</v>
      </c>
      <c r="I75" s="17">
        <f>J75-H75</f>
        <v>0</v>
      </c>
      <c r="J75" s="17">
        <f>F75*G75</f>
        <v>0</v>
      </c>
      <c r="K75" s="58" t="s">
        <v>347</v>
      </c>
      <c r="L75" s="17">
        <f>F75*K75</f>
        <v>3.132</v>
      </c>
      <c r="X75" s="26"/>
      <c r="AH75" s="35"/>
      <c r="AI75" s="35"/>
      <c r="AJ75" s="35"/>
    </row>
    <row r="76" spans="1:47" ht="12.75">
      <c r="A76" s="5" t="s">
        <v>55</v>
      </c>
      <c r="B76" s="5"/>
      <c r="C76" s="5" t="s">
        <v>132</v>
      </c>
      <c r="D76" s="5" t="s">
        <v>214</v>
      </c>
      <c r="E76" s="5" t="s">
        <v>239</v>
      </c>
      <c r="F76" s="17">
        <v>4</v>
      </c>
      <c r="G76" s="17"/>
      <c r="H76" s="17">
        <f>F76*AD76</f>
        <v>0</v>
      </c>
      <c r="I76" s="17">
        <f>J76-H76</f>
        <v>0</v>
      </c>
      <c r="J76" s="17">
        <f>F76*G76</f>
        <v>0</v>
      </c>
      <c r="K76" s="17">
        <v>0</v>
      </c>
      <c r="L76" s="17">
        <f>F76*K76</f>
        <v>0</v>
      </c>
      <c r="O76" s="32">
        <f>IF(AF76="5",J76,0)</f>
        <v>0</v>
      </c>
      <c r="Q76" s="32">
        <f>IF(AF76="1",H76,0)</f>
        <v>0</v>
      </c>
      <c r="R76" s="32">
        <f>IF(AF76="1",I76,0)</f>
        <v>0</v>
      </c>
      <c r="S76" s="32">
        <f>IF(AF76="7",H76,0)</f>
        <v>0</v>
      </c>
      <c r="T76" s="32">
        <f>IF(AF76="7",I76,0)</f>
        <v>0</v>
      </c>
      <c r="U76" s="32">
        <f>IF(AF76="2",H76,0)</f>
        <v>0</v>
      </c>
      <c r="V76" s="32">
        <f>IF(AF76="2",I76,0)</f>
        <v>0</v>
      </c>
      <c r="W76" s="32">
        <f>IF(AF76="0",J76,0)</f>
        <v>0</v>
      </c>
      <c r="X76" s="26"/>
      <c r="Y76" s="17">
        <f>IF(AC76=0,J76,0)</f>
        <v>0</v>
      </c>
      <c r="Z76" s="17">
        <f>IF(AC76=15,J76,0)</f>
        <v>0</v>
      </c>
      <c r="AA76" s="17">
        <f>IF(AC76=21,J76,0)</f>
        <v>0</v>
      </c>
      <c r="AC76" s="32">
        <v>21</v>
      </c>
      <c r="AD76" s="32">
        <f>G76*0</f>
        <v>0</v>
      </c>
      <c r="AE76" s="32">
        <f>G76*(1-0)</f>
        <v>0</v>
      </c>
      <c r="AF76" s="29" t="s">
        <v>7</v>
      </c>
      <c r="AL76" s="32">
        <f>F76*AD76</f>
        <v>0</v>
      </c>
      <c r="AM76" s="32">
        <f>F76*AE76</f>
        <v>0</v>
      </c>
      <c r="AN76" s="33" t="s">
        <v>280</v>
      </c>
      <c r="AO76" s="33" t="s">
        <v>292</v>
      </c>
      <c r="AP76" s="26" t="s">
        <v>293</v>
      </c>
      <c r="AR76" s="32">
        <f>AL76+AM76</f>
        <v>0</v>
      </c>
      <c r="AS76" s="32">
        <f>G76/(100-AT76)*100</f>
        <v>0</v>
      </c>
      <c r="AT76" s="32">
        <v>0</v>
      </c>
      <c r="AU76" s="32">
        <f>L76</f>
        <v>0</v>
      </c>
    </row>
    <row r="77" spans="1:47" ht="12.75">
      <c r="A77" s="5" t="s">
        <v>56</v>
      </c>
      <c r="B77" s="5"/>
      <c r="C77" s="5" t="s">
        <v>133</v>
      </c>
      <c r="D77" s="5" t="s">
        <v>215</v>
      </c>
      <c r="E77" s="5" t="s">
        <v>237</v>
      </c>
      <c r="F77" s="17">
        <v>5.2</v>
      </c>
      <c r="G77" s="17"/>
      <c r="H77" s="17">
        <f>F77*AD77</f>
        <v>0</v>
      </c>
      <c r="I77" s="17">
        <f>J77-H77</f>
        <v>0</v>
      </c>
      <c r="J77" s="17">
        <f>F77*G77</f>
        <v>0</v>
      </c>
      <c r="K77" s="17">
        <v>0.07717</v>
      </c>
      <c r="L77" s="17">
        <f>F77*K77</f>
        <v>0.40128400000000003</v>
      </c>
      <c r="O77" s="32">
        <f>IF(AF77="5",J77,0)</f>
        <v>0</v>
      </c>
      <c r="Q77" s="32">
        <f>IF(AF77="1",H77,0)</f>
        <v>0</v>
      </c>
      <c r="R77" s="32">
        <f>IF(AF77="1",I77,0)</f>
        <v>0</v>
      </c>
      <c r="S77" s="32">
        <f>IF(AF77="7",H77,0)</f>
        <v>0</v>
      </c>
      <c r="T77" s="32">
        <f>IF(AF77="7",I77,0)</f>
        <v>0</v>
      </c>
      <c r="U77" s="32">
        <f>IF(AF77="2",H77,0)</f>
        <v>0</v>
      </c>
      <c r="V77" s="32">
        <f>IF(AF77="2",I77,0)</f>
        <v>0</v>
      </c>
      <c r="W77" s="32">
        <f>IF(AF77="0",J77,0)</f>
        <v>0</v>
      </c>
      <c r="X77" s="26"/>
      <c r="Y77" s="17">
        <f>IF(AC77=0,J77,0)</f>
        <v>0</v>
      </c>
      <c r="Z77" s="17">
        <f>IF(AC77=15,J77,0)</f>
        <v>0</v>
      </c>
      <c r="AA77" s="17">
        <f>IF(AC77=21,J77,0)</f>
        <v>0</v>
      </c>
      <c r="AC77" s="32">
        <v>21</v>
      </c>
      <c r="AD77" s="32">
        <f>G77*0.0755766621438263</f>
        <v>0</v>
      </c>
      <c r="AE77" s="32">
        <f>G77*(1-0.0755766621438263)</f>
        <v>0</v>
      </c>
      <c r="AF77" s="29" t="s">
        <v>7</v>
      </c>
      <c r="AL77" s="32">
        <f>F77*AD77</f>
        <v>0</v>
      </c>
      <c r="AM77" s="32">
        <f>F77*AE77</f>
        <v>0</v>
      </c>
      <c r="AN77" s="33" t="s">
        <v>280</v>
      </c>
      <c r="AO77" s="33" t="s">
        <v>292</v>
      </c>
      <c r="AP77" s="26" t="s">
        <v>293</v>
      </c>
      <c r="AR77" s="32">
        <f>AL77+AM77</f>
        <v>0</v>
      </c>
      <c r="AS77" s="32">
        <f>G77/(100-AT77)*100</f>
        <v>0</v>
      </c>
      <c r="AT77" s="32">
        <v>0</v>
      </c>
      <c r="AU77" s="32">
        <f>L77</f>
        <v>0.40128400000000003</v>
      </c>
    </row>
    <row r="78" spans="1:47" ht="12.75">
      <c r="A78" s="5" t="s">
        <v>57</v>
      </c>
      <c r="B78" s="5"/>
      <c r="C78" s="5" t="s">
        <v>134</v>
      </c>
      <c r="D78" s="5" t="s">
        <v>216</v>
      </c>
      <c r="E78" s="5" t="s">
        <v>237</v>
      </c>
      <c r="F78" s="17">
        <v>15.224</v>
      </c>
      <c r="G78" s="17"/>
      <c r="H78" s="17">
        <f>F78*AD78</f>
        <v>0</v>
      </c>
      <c r="I78" s="17">
        <f>J78-H78</f>
        <v>0</v>
      </c>
      <c r="J78" s="17">
        <f>F78*G78</f>
        <v>0</v>
      </c>
      <c r="K78" s="17">
        <v>0.02</v>
      </c>
      <c r="L78" s="17">
        <f>F78*K78</f>
        <v>0.30448000000000003</v>
      </c>
      <c r="O78" s="32">
        <f>IF(AF78="5",J78,0)</f>
        <v>0</v>
      </c>
      <c r="Q78" s="32">
        <f>IF(AF78="1",H78,0)</f>
        <v>0</v>
      </c>
      <c r="R78" s="32">
        <f>IF(AF78="1",I78,0)</f>
        <v>0</v>
      </c>
      <c r="S78" s="32">
        <f>IF(AF78="7",H78,0)</f>
        <v>0</v>
      </c>
      <c r="T78" s="32">
        <f>IF(AF78="7",I78,0)</f>
        <v>0</v>
      </c>
      <c r="U78" s="32">
        <f>IF(AF78="2",H78,0)</f>
        <v>0</v>
      </c>
      <c r="V78" s="32">
        <f>IF(AF78="2",I78,0)</f>
        <v>0</v>
      </c>
      <c r="W78" s="32">
        <f>IF(AF78="0",J78,0)</f>
        <v>0</v>
      </c>
      <c r="X78" s="26"/>
      <c r="Y78" s="17">
        <f>IF(AC78=0,J78,0)</f>
        <v>0</v>
      </c>
      <c r="Z78" s="17">
        <f>IF(AC78=15,J78,0)</f>
        <v>0</v>
      </c>
      <c r="AA78" s="17">
        <f>IF(AC78=21,J78,0)</f>
        <v>0</v>
      </c>
      <c r="AC78" s="32">
        <v>21</v>
      </c>
      <c r="AD78" s="32">
        <f>G78*0</f>
        <v>0</v>
      </c>
      <c r="AE78" s="32">
        <f>G78*(1-0)</f>
        <v>0</v>
      </c>
      <c r="AF78" s="29" t="s">
        <v>7</v>
      </c>
      <c r="AL78" s="32">
        <f>F78*AD78</f>
        <v>0</v>
      </c>
      <c r="AM78" s="32">
        <f>F78*AE78</f>
        <v>0</v>
      </c>
      <c r="AN78" s="33" t="s">
        <v>280</v>
      </c>
      <c r="AO78" s="33" t="s">
        <v>292</v>
      </c>
      <c r="AP78" s="26" t="s">
        <v>293</v>
      </c>
      <c r="AR78" s="32">
        <f>AL78+AM78</f>
        <v>0</v>
      </c>
      <c r="AS78" s="32">
        <f>G78/(100-AT78)*100</f>
        <v>0</v>
      </c>
      <c r="AT78" s="32">
        <v>0</v>
      </c>
      <c r="AU78" s="32">
        <f>L78</f>
        <v>0.30448000000000003</v>
      </c>
    </row>
    <row r="79" spans="1:47" ht="12.75">
      <c r="A79" s="5" t="s">
        <v>58</v>
      </c>
      <c r="B79" s="5"/>
      <c r="C79" s="5" t="s">
        <v>135</v>
      </c>
      <c r="D79" s="5" t="s">
        <v>217</v>
      </c>
      <c r="E79" s="5" t="s">
        <v>237</v>
      </c>
      <c r="F79" s="17">
        <v>3.3</v>
      </c>
      <c r="G79" s="17"/>
      <c r="H79" s="17">
        <f>F79*AD79</f>
        <v>0</v>
      </c>
      <c r="I79" s="17">
        <f>J79-H79</f>
        <v>0</v>
      </c>
      <c r="J79" s="17">
        <f>F79*G79</f>
        <v>0</v>
      </c>
      <c r="K79" s="17">
        <v>0.18467</v>
      </c>
      <c r="L79" s="17">
        <f>F79*K79</f>
        <v>0.6094109999999999</v>
      </c>
      <c r="O79" s="32">
        <f>IF(AF79="5",J79,0)</f>
        <v>0</v>
      </c>
      <c r="Q79" s="32">
        <f>IF(AF79="1",H79,0)</f>
        <v>0</v>
      </c>
      <c r="R79" s="32">
        <f>IF(AF79="1",I79,0)</f>
        <v>0</v>
      </c>
      <c r="S79" s="32">
        <f>IF(AF79="7",H79,0)</f>
        <v>0</v>
      </c>
      <c r="T79" s="32">
        <f>IF(AF79="7",I79,0)</f>
        <v>0</v>
      </c>
      <c r="U79" s="32">
        <f>IF(AF79="2",H79,0)</f>
        <v>0</v>
      </c>
      <c r="V79" s="32">
        <f>IF(AF79="2",I79,0)</f>
        <v>0</v>
      </c>
      <c r="W79" s="32">
        <f>IF(AF79="0",J79,0)</f>
        <v>0</v>
      </c>
      <c r="X79" s="26"/>
      <c r="Y79" s="17">
        <f>IF(AC79=0,J79,0)</f>
        <v>0</v>
      </c>
      <c r="Z79" s="17">
        <f>IF(AC79=15,J79,0)</f>
        <v>0</v>
      </c>
      <c r="AA79" s="17">
        <f>IF(AC79=21,J79,0)</f>
        <v>0</v>
      </c>
      <c r="AC79" s="32">
        <v>21</v>
      </c>
      <c r="AD79" s="32">
        <f>G79*0.133670886075949</f>
        <v>0</v>
      </c>
      <c r="AE79" s="32">
        <f>G79*(1-0.133670886075949)</f>
        <v>0</v>
      </c>
      <c r="AF79" s="29" t="s">
        <v>7</v>
      </c>
      <c r="AL79" s="32">
        <f>F79*AD79</f>
        <v>0</v>
      </c>
      <c r="AM79" s="32">
        <f>F79*AE79</f>
        <v>0</v>
      </c>
      <c r="AN79" s="33" t="s">
        <v>280</v>
      </c>
      <c r="AO79" s="33" t="s">
        <v>292</v>
      </c>
      <c r="AP79" s="26" t="s">
        <v>293</v>
      </c>
      <c r="AR79" s="32">
        <f>AL79+AM79</f>
        <v>0</v>
      </c>
      <c r="AS79" s="32">
        <f>G79/(100-AT79)*100</f>
        <v>0</v>
      </c>
      <c r="AT79" s="32">
        <v>0</v>
      </c>
      <c r="AU79" s="32">
        <f>L79</f>
        <v>0.6094109999999999</v>
      </c>
    </row>
    <row r="80" spans="1:36" ht="12.75">
      <c r="A80" s="6"/>
      <c r="B80" s="14"/>
      <c r="C80" s="14" t="s">
        <v>136</v>
      </c>
      <c r="D80" s="14" t="s">
        <v>218</v>
      </c>
      <c r="E80" s="6" t="s">
        <v>6</v>
      </c>
      <c r="F80" s="6" t="s">
        <v>6</v>
      </c>
      <c r="G80" s="6"/>
      <c r="H80" s="35">
        <f>SUM(H81:H82)</f>
        <v>0</v>
      </c>
      <c r="I80" s="35">
        <f>SUM(I81:I82)</f>
        <v>0</v>
      </c>
      <c r="J80" s="35">
        <f>H80+I80</f>
        <v>0</v>
      </c>
      <c r="K80" s="26"/>
      <c r="L80" s="35">
        <f>SUM(L81:L82)</f>
        <v>3.2373240000000005</v>
      </c>
      <c r="X80" s="26"/>
      <c r="AH80" s="35">
        <f>SUM(Y81:Y82)</f>
        <v>0</v>
      </c>
      <c r="AI80" s="35">
        <f>SUM(Z81:Z82)</f>
        <v>0</v>
      </c>
      <c r="AJ80" s="35">
        <f>SUM(AA81:AA82)</f>
        <v>0</v>
      </c>
    </row>
    <row r="81" spans="1:47" ht="12.75">
      <c r="A81" s="5" t="s">
        <v>59</v>
      </c>
      <c r="B81" s="5"/>
      <c r="C81" s="5" t="s">
        <v>137</v>
      </c>
      <c r="D81" s="5" t="s">
        <v>219</v>
      </c>
      <c r="E81" s="5" t="s">
        <v>237</v>
      </c>
      <c r="F81" s="17">
        <v>45.508</v>
      </c>
      <c r="G81" s="17"/>
      <c r="H81" s="17">
        <f>F81*AD81</f>
        <v>0</v>
      </c>
      <c r="I81" s="17">
        <f>J81-H81</f>
        <v>0</v>
      </c>
      <c r="J81" s="17">
        <f>F81*G81</f>
        <v>0</v>
      </c>
      <c r="K81" s="17">
        <v>0.068</v>
      </c>
      <c r="L81" s="17">
        <f>F81*K81</f>
        <v>3.0945440000000004</v>
      </c>
      <c r="O81" s="32">
        <f>IF(AF81="5",J81,0)</f>
        <v>0</v>
      </c>
      <c r="Q81" s="32">
        <f>IF(AF81="1",H81,0)</f>
        <v>0</v>
      </c>
      <c r="R81" s="32">
        <f>IF(AF81="1",I81,0)</f>
        <v>0</v>
      </c>
      <c r="S81" s="32">
        <f>IF(AF81="7",H81,0)</f>
        <v>0</v>
      </c>
      <c r="T81" s="32">
        <f>IF(AF81="7",I81,0)</f>
        <v>0</v>
      </c>
      <c r="U81" s="32">
        <f>IF(AF81="2",H81,0)</f>
        <v>0</v>
      </c>
      <c r="V81" s="32">
        <f>IF(AF81="2",I81,0)</f>
        <v>0</v>
      </c>
      <c r="W81" s="32">
        <f>IF(AF81="0",J81,0)</f>
        <v>0</v>
      </c>
      <c r="X81" s="26"/>
      <c r="Y81" s="17">
        <f>IF(AC81=0,J81,0)</f>
        <v>0</v>
      </c>
      <c r="Z81" s="17">
        <f>IF(AC81=15,J81,0)</f>
        <v>0</v>
      </c>
      <c r="AA81" s="17">
        <f>IF(AC81=21,J81,0)</f>
        <v>0</v>
      </c>
      <c r="AC81" s="32">
        <v>21</v>
      </c>
      <c r="AD81" s="32">
        <f>G81*0</f>
        <v>0</v>
      </c>
      <c r="AE81" s="32">
        <f>G81*(1-0)</f>
        <v>0</v>
      </c>
      <c r="AF81" s="29" t="s">
        <v>7</v>
      </c>
      <c r="AL81" s="32">
        <f>F81*AD81</f>
        <v>0</v>
      </c>
      <c r="AM81" s="32">
        <f>F81*AE81</f>
        <v>0</v>
      </c>
      <c r="AN81" s="33" t="s">
        <v>281</v>
      </c>
      <c r="AO81" s="33" t="s">
        <v>292</v>
      </c>
      <c r="AP81" s="26" t="s">
        <v>293</v>
      </c>
      <c r="AR81" s="32">
        <f>AL81+AM81</f>
        <v>0</v>
      </c>
      <c r="AS81" s="32">
        <f>G81/(100-AT81)*100</f>
        <v>0</v>
      </c>
      <c r="AT81" s="32">
        <v>0</v>
      </c>
      <c r="AU81" s="32">
        <f>L81</f>
        <v>3.0945440000000004</v>
      </c>
    </row>
    <row r="82" spans="1:47" ht="12.75">
      <c r="A82" s="5" t="s">
        <v>60</v>
      </c>
      <c r="B82" s="5"/>
      <c r="C82" s="5" t="s">
        <v>138</v>
      </c>
      <c r="D82" s="5" t="s">
        <v>220</v>
      </c>
      <c r="E82" s="5" t="s">
        <v>238</v>
      </c>
      <c r="F82" s="17">
        <v>22</v>
      </c>
      <c r="G82" s="17"/>
      <c r="H82" s="17">
        <f>F82*AD82</f>
        <v>0</v>
      </c>
      <c r="I82" s="17">
        <f>J82-H82</f>
        <v>0</v>
      </c>
      <c r="J82" s="17">
        <f>F82*G82</f>
        <v>0</v>
      </c>
      <c r="K82" s="17">
        <v>0.00649</v>
      </c>
      <c r="L82" s="17">
        <f>F82*K82</f>
        <v>0.14278</v>
      </c>
      <c r="O82" s="32">
        <f>IF(AF82="5",J82,0)</f>
        <v>0</v>
      </c>
      <c r="Q82" s="32">
        <f>IF(AF82="1",H82,0)</f>
        <v>0</v>
      </c>
      <c r="R82" s="32">
        <f>IF(AF82="1",I82,0)</f>
        <v>0</v>
      </c>
      <c r="S82" s="32">
        <f>IF(AF82="7",H82,0)</f>
        <v>0</v>
      </c>
      <c r="T82" s="32">
        <f>IF(AF82="7",I82,0)</f>
        <v>0</v>
      </c>
      <c r="U82" s="32">
        <f>IF(AF82="2",H82,0)</f>
        <v>0</v>
      </c>
      <c r="V82" s="32">
        <f>IF(AF82="2",I82,0)</f>
        <v>0</v>
      </c>
      <c r="W82" s="32">
        <f>IF(AF82="0",J82,0)</f>
        <v>0</v>
      </c>
      <c r="X82" s="26"/>
      <c r="Y82" s="17">
        <f>IF(AC82=0,J82,0)</f>
        <v>0</v>
      </c>
      <c r="Z82" s="17">
        <f>IF(AC82=15,J82,0)</f>
        <v>0</v>
      </c>
      <c r="AA82" s="17">
        <f>IF(AC82=21,J82,0)</f>
        <v>0</v>
      </c>
      <c r="AC82" s="32">
        <v>21</v>
      </c>
      <c r="AD82" s="32">
        <f>G82*0.1125</f>
        <v>0</v>
      </c>
      <c r="AE82" s="32">
        <f>G82*(1-0.1125)</f>
        <v>0</v>
      </c>
      <c r="AF82" s="29" t="s">
        <v>7</v>
      </c>
      <c r="AL82" s="32">
        <f>F82*AD82</f>
        <v>0</v>
      </c>
      <c r="AM82" s="32">
        <f>F82*AE82</f>
        <v>0</v>
      </c>
      <c r="AN82" s="33" t="s">
        <v>281</v>
      </c>
      <c r="AO82" s="33" t="s">
        <v>292</v>
      </c>
      <c r="AP82" s="26" t="s">
        <v>293</v>
      </c>
      <c r="AR82" s="32">
        <f>AL82+AM82</f>
        <v>0</v>
      </c>
      <c r="AS82" s="32">
        <f>G82/(100-AT82)*100</f>
        <v>0</v>
      </c>
      <c r="AT82" s="32">
        <v>0</v>
      </c>
      <c r="AU82" s="32">
        <f>L82</f>
        <v>0.14278</v>
      </c>
    </row>
    <row r="83" spans="1:36" ht="12.75">
      <c r="A83" s="6"/>
      <c r="B83" s="14"/>
      <c r="C83" s="14" t="s">
        <v>139</v>
      </c>
      <c r="D83" s="14" t="s">
        <v>221</v>
      </c>
      <c r="E83" s="6" t="s">
        <v>6</v>
      </c>
      <c r="F83" s="6" t="s">
        <v>6</v>
      </c>
      <c r="G83" s="6"/>
      <c r="H83" s="35">
        <f>SUM(H84:H84)</f>
        <v>0</v>
      </c>
      <c r="I83" s="35">
        <f>SUM(I84:I84)</f>
        <v>0</v>
      </c>
      <c r="J83" s="35">
        <f>H83+I83</f>
        <v>0</v>
      </c>
      <c r="K83" s="26"/>
      <c r="L83" s="35">
        <f>SUM(L84:L84)</f>
        <v>0</v>
      </c>
      <c r="X83" s="26"/>
      <c r="AH83" s="35">
        <f>SUM(Y84:Y84)</f>
        <v>0</v>
      </c>
      <c r="AI83" s="35">
        <f>SUM(Z84:Z84)</f>
        <v>0</v>
      </c>
      <c r="AJ83" s="35">
        <f>SUM(AA84:AA84)</f>
        <v>0</v>
      </c>
    </row>
    <row r="84" spans="1:47" ht="12.75">
      <c r="A84" s="5" t="s">
        <v>61</v>
      </c>
      <c r="B84" s="5"/>
      <c r="C84" s="5" t="s">
        <v>140</v>
      </c>
      <c r="D84" s="5" t="s">
        <v>222</v>
      </c>
      <c r="E84" s="5" t="s">
        <v>241</v>
      </c>
      <c r="F84" s="17">
        <v>2.03359</v>
      </c>
      <c r="G84" s="17"/>
      <c r="H84" s="17">
        <f>F84*AD84</f>
        <v>0</v>
      </c>
      <c r="I84" s="17">
        <f>J84-H84</f>
        <v>0</v>
      </c>
      <c r="J84" s="17">
        <f>F84*G84</f>
        <v>0</v>
      </c>
      <c r="K84" s="17">
        <v>0</v>
      </c>
      <c r="L84" s="17">
        <f>F84*K84</f>
        <v>0</v>
      </c>
      <c r="O84" s="32">
        <f>IF(AF84="5",J84,0)</f>
        <v>0</v>
      </c>
      <c r="Q84" s="32">
        <f>IF(AF84="1",H84,0)</f>
        <v>0</v>
      </c>
      <c r="R84" s="32">
        <f>IF(AF84="1",I84,0)</f>
        <v>0</v>
      </c>
      <c r="S84" s="32">
        <f>IF(AF84="7",H84,0)</f>
        <v>0</v>
      </c>
      <c r="T84" s="32">
        <f>IF(AF84="7",I84,0)</f>
        <v>0</v>
      </c>
      <c r="U84" s="32">
        <f>IF(AF84="2",H84,0)</f>
        <v>0</v>
      </c>
      <c r="V84" s="32">
        <f>IF(AF84="2",I84,0)</f>
        <v>0</v>
      </c>
      <c r="W84" s="32">
        <f>IF(AF84="0",J84,0)</f>
        <v>0</v>
      </c>
      <c r="X84" s="26"/>
      <c r="Y84" s="17">
        <f>IF(AC84=0,J84,0)</f>
        <v>0</v>
      </c>
      <c r="Z84" s="17">
        <f>IF(AC84=15,J84,0)</f>
        <v>0</v>
      </c>
      <c r="AA84" s="17">
        <f>IF(AC84=21,J84,0)</f>
        <v>0</v>
      </c>
      <c r="AC84" s="32">
        <v>21</v>
      </c>
      <c r="AD84" s="32">
        <f>G84*0</f>
        <v>0</v>
      </c>
      <c r="AE84" s="32">
        <f>G84*(1-0)</f>
        <v>0</v>
      </c>
      <c r="AF84" s="29" t="s">
        <v>11</v>
      </c>
      <c r="AL84" s="32">
        <f>F84*AD84</f>
        <v>0</v>
      </c>
      <c r="AM84" s="32">
        <f>F84*AE84</f>
        <v>0</v>
      </c>
      <c r="AN84" s="33" t="s">
        <v>282</v>
      </c>
      <c r="AO84" s="33" t="s">
        <v>292</v>
      </c>
      <c r="AP84" s="26" t="s">
        <v>293</v>
      </c>
      <c r="AR84" s="32">
        <f>AL84+AM84</f>
        <v>0</v>
      </c>
      <c r="AS84" s="32">
        <f>G84/(100-AT84)*100</f>
        <v>0</v>
      </c>
      <c r="AT84" s="32">
        <v>0</v>
      </c>
      <c r="AU84" s="32">
        <f>L84</f>
        <v>0</v>
      </c>
    </row>
    <row r="85" spans="1:36" ht="12.75">
      <c r="A85" s="6"/>
      <c r="B85" s="14"/>
      <c r="C85" s="14" t="s">
        <v>141</v>
      </c>
      <c r="D85" s="14" t="s">
        <v>223</v>
      </c>
      <c r="E85" s="6" t="s">
        <v>6</v>
      </c>
      <c r="F85" s="6" t="s">
        <v>6</v>
      </c>
      <c r="G85" s="6"/>
      <c r="H85" s="35">
        <f>SUM(H86:H86)</f>
        <v>0</v>
      </c>
      <c r="I85" s="35">
        <f>SUM(I86:I86)</f>
        <v>0</v>
      </c>
      <c r="J85" s="35">
        <f>H85+I85</f>
        <v>0</v>
      </c>
      <c r="K85" s="26"/>
      <c r="L85" s="35">
        <f>SUM(L86:L86)</f>
        <v>1E-05</v>
      </c>
      <c r="X85" s="26"/>
      <c r="AH85" s="35">
        <f>SUM(Y86:Y86)</f>
        <v>0</v>
      </c>
      <c r="AI85" s="35">
        <f>SUM(Z86:Z86)</f>
        <v>0</v>
      </c>
      <c r="AJ85" s="35">
        <f>SUM(AA86:AA86)</f>
        <v>0</v>
      </c>
    </row>
    <row r="86" spans="1:47" ht="12.75">
      <c r="A86" s="5" t="s">
        <v>62</v>
      </c>
      <c r="B86" s="5"/>
      <c r="C86" s="5" t="s">
        <v>142</v>
      </c>
      <c r="D86" s="5" t="s">
        <v>224</v>
      </c>
      <c r="E86" s="5" t="s">
        <v>240</v>
      </c>
      <c r="F86" s="17">
        <v>1</v>
      </c>
      <c r="G86" s="17"/>
      <c r="H86" s="17">
        <f>F86*AD86</f>
        <v>0</v>
      </c>
      <c r="I86" s="17">
        <f>J86-H86</f>
        <v>0</v>
      </c>
      <c r="J86" s="17">
        <f>F86*G86</f>
        <v>0</v>
      </c>
      <c r="K86" s="17">
        <v>1E-05</v>
      </c>
      <c r="L86" s="17">
        <f>F86*K86</f>
        <v>1E-05</v>
      </c>
      <c r="O86" s="32">
        <f>IF(AF86="5",J86,0)</f>
        <v>0</v>
      </c>
      <c r="Q86" s="32">
        <f>IF(AF86="1",H86,0)</f>
        <v>0</v>
      </c>
      <c r="R86" s="32">
        <f>IF(AF86="1",I86,0)</f>
        <v>0</v>
      </c>
      <c r="S86" s="32">
        <f>IF(AF86="7",H86,0)</f>
        <v>0</v>
      </c>
      <c r="T86" s="32">
        <f>IF(AF86="7",I86,0)</f>
        <v>0</v>
      </c>
      <c r="U86" s="32">
        <f>IF(AF86="2",H86,0)</f>
        <v>0</v>
      </c>
      <c r="V86" s="32">
        <f>IF(AF86="2",I86,0)</f>
        <v>0</v>
      </c>
      <c r="W86" s="32">
        <f>IF(AF86="0",J86,0)</f>
        <v>0</v>
      </c>
      <c r="X86" s="26"/>
      <c r="Y86" s="17">
        <f>IF(AC86=0,J86,0)</f>
        <v>0</v>
      </c>
      <c r="Z86" s="17">
        <f>IF(AC86=15,J86,0)</f>
        <v>0</v>
      </c>
      <c r="AA86" s="17">
        <f>IF(AC86=21,J86,0)</f>
        <v>0</v>
      </c>
      <c r="AC86" s="32">
        <v>21</v>
      </c>
      <c r="AD86" s="32">
        <f>G86*0.104898095238095</f>
        <v>0</v>
      </c>
      <c r="AE86" s="32">
        <f>G86*(1-0.104898095238095)</f>
        <v>0</v>
      </c>
      <c r="AF86" s="29" t="s">
        <v>8</v>
      </c>
      <c r="AL86" s="32">
        <f>F86*AD86</f>
        <v>0</v>
      </c>
      <c r="AM86" s="32">
        <f>F86*AE86</f>
        <v>0</v>
      </c>
      <c r="AN86" s="33" t="s">
        <v>283</v>
      </c>
      <c r="AO86" s="33" t="s">
        <v>292</v>
      </c>
      <c r="AP86" s="26" t="s">
        <v>293</v>
      </c>
      <c r="AR86" s="32">
        <f>AL86+AM86</f>
        <v>0</v>
      </c>
      <c r="AS86" s="32">
        <f>G86/(100-AT86)*100</f>
        <v>0</v>
      </c>
      <c r="AT86" s="32">
        <v>0</v>
      </c>
      <c r="AU86" s="32">
        <f>L86</f>
        <v>1E-05</v>
      </c>
    </row>
    <row r="87" spans="1:36" ht="12.75">
      <c r="A87" s="6"/>
      <c r="B87" s="14"/>
      <c r="C87" s="14" t="s">
        <v>143</v>
      </c>
      <c r="D87" s="14" t="s">
        <v>225</v>
      </c>
      <c r="E87" s="6" t="s">
        <v>6</v>
      </c>
      <c r="F87" s="6" t="s">
        <v>6</v>
      </c>
      <c r="G87" s="6"/>
      <c r="H87" s="35">
        <f>SUM(H88:H93)</f>
        <v>0</v>
      </c>
      <c r="I87" s="35">
        <f>SUM(I88:I93)</f>
        <v>0</v>
      </c>
      <c r="J87" s="35">
        <f>H87+I87</f>
        <v>0</v>
      </c>
      <c r="K87" s="26"/>
      <c r="L87" s="35">
        <f>SUM(L88:L93)</f>
        <v>0</v>
      </c>
      <c r="X87" s="26"/>
      <c r="AH87" s="35">
        <f>SUM(Y88:Y93)</f>
        <v>0</v>
      </c>
      <c r="AI87" s="35">
        <f>SUM(Z88:Z93)</f>
        <v>0</v>
      </c>
      <c r="AJ87" s="35">
        <f>SUM(AA88:AA93)</f>
        <v>0</v>
      </c>
    </row>
    <row r="88" spans="1:47" ht="12.75">
      <c r="A88" s="5" t="s">
        <v>63</v>
      </c>
      <c r="B88" s="5"/>
      <c r="C88" s="5" t="s">
        <v>144</v>
      </c>
      <c r="D88" s="5" t="s">
        <v>226</v>
      </c>
      <c r="E88" s="5" t="s">
        <v>241</v>
      </c>
      <c r="F88" s="17">
        <v>4.31243</v>
      </c>
      <c r="G88" s="17"/>
      <c r="H88" s="17">
        <f aca="true" t="shared" si="60" ref="H88:H93">F88*AD88</f>
        <v>0</v>
      </c>
      <c r="I88" s="17">
        <f aca="true" t="shared" si="61" ref="I88:I93">J88-H88</f>
        <v>0</v>
      </c>
      <c r="J88" s="17">
        <f aca="true" t="shared" si="62" ref="J88:J93">F88*G88</f>
        <v>0</v>
      </c>
      <c r="K88" s="17">
        <v>0</v>
      </c>
      <c r="L88" s="17">
        <f aca="true" t="shared" si="63" ref="L88:L93">F88*K88</f>
        <v>0</v>
      </c>
      <c r="O88" s="32">
        <f aca="true" t="shared" si="64" ref="O88:O93">IF(AF88="5",J88,0)</f>
        <v>0</v>
      </c>
      <c r="Q88" s="32">
        <f aca="true" t="shared" si="65" ref="Q88:Q93">IF(AF88="1",H88,0)</f>
        <v>0</v>
      </c>
      <c r="R88" s="32">
        <f aca="true" t="shared" si="66" ref="R88:R93">IF(AF88="1",I88,0)</f>
        <v>0</v>
      </c>
      <c r="S88" s="32">
        <f aca="true" t="shared" si="67" ref="S88:S93">IF(AF88="7",H88,0)</f>
        <v>0</v>
      </c>
      <c r="T88" s="32">
        <f aca="true" t="shared" si="68" ref="T88:T93">IF(AF88="7",I88,0)</f>
        <v>0</v>
      </c>
      <c r="U88" s="32">
        <f aca="true" t="shared" si="69" ref="U88:U93">IF(AF88="2",H88,0)</f>
        <v>0</v>
      </c>
      <c r="V88" s="32">
        <f aca="true" t="shared" si="70" ref="V88:V93">IF(AF88="2",I88,0)</f>
        <v>0</v>
      </c>
      <c r="W88" s="32">
        <f aca="true" t="shared" si="71" ref="W88:W93">IF(AF88="0",J88,0)</f>
        <v>0</v>
      </c>
      <c r="X88" s="26"/>
      <c r="Y88" s="17">
        <f aca="true" t="shared" si="72" ref="Y88:Y93">IF(AC88=0,J88,0)</f>
        <v>0</v>
      </c>
      <c r="Z88" s="17">
        <f aca="true" t="shared" si="73" ref="Z88:Z93">IF(AC88=15,J88,0)</f>
        <v>0</v>
      </c>
      <c r="AA88" s="17">
        <f aca="true" t="shared" si="74" ref="AA88:AA93">IF(AC88=21,J88,0)</f>
        <v>0</v>
      </c>
      <c r="AC88" s="32">
        <v>21</v>
      </c>
      <c r="AD88" s="32">
        <f aca="true" t="shared" si="75" ref="AD88:AD93">G88*0</f>
        <v>0</v>
      </c>
      <c r="AE88" s="32">
        <f aca="true" t="shared" si="76" ref="AE88:AE93">G88*(1-0)</f>
        <v>0</v>
      </c>
      <c r="AF88" s="29" t="s">
        <v>11</v>
      </c>
      <c r="AL88" s="32">
        <f aca="true" t="shared" si="77" ref="AL88:AL93">F88*AD88</f>
        <v>0</v>
      </c>
      <c r="AM88" s="32">
        <f aca="true" t="shared" si="78" ref="AM88:AM93">F88*AE88</f>
        <v>0</v>
      </c>
      <c r="AN88" s="33" t="s">
        <v>284</v>
      </c>
      <c r="AO88" s="33" t="s">
        <v>292</v>
      </c>
      <c r="AP88" s="26" t="s">
        <v>293</v>
      </c>
      <c r="AR88" s="32">
        <f aca="true" t="shared" si="79" ref="AR88:AR93">AL88+AM88</f>
        <v>0</v>
      </c>
      <c r="AS88" s="32">
        <f aca="true" t="shared" si="80" ref="AS88:AS93">G88/(100-AT88)*100</f>
        <v>0</v>
      </c>
      <c r="AT88" s="32">
        <v>0</v>
      </c>
      <c r="AU88" s="32">
        <f aca="true" t="shared" si="81" ref="AU88:AU93">L88</f>
        <v>0</v>
      </c>
    </row>
    <row r="89" spans="1:47" ht="12.75">
      <c r="A89" s="5" t="s">
        <v>64</v>
      </c>
      <c r="B89" s="5"/>
      <c r="C89" s="5" t="s">
        <v>145</v>
      </c>
      <c r="D89" s="5" t="s">
        <v>227</v>
      </c>
      <c r="E89" s="5" t="s">
        <v>241</v>
      </c>
      <c r="F89" s="17">
        <v>4.31243</v>
      </c>
      <c r="G89" s="17"/>
      <c r="H89" s="17">
        <f t="shared" si="60"/>
        <v>0</v>
      </c>
      <c r="I89" s="17">
        <f t="shared" si="61"/>
        <v>0</v>
      </c>
      <c r="J89" s="17">
        <f t="shared" si="62"/>
        <v>0</v>
      </c>
      <c r="K89" s="17">
        <v>0</v>
      </c>
      <c r="L89" s="17">
        <f t="shared" si="63"/>
        <v>0</v>
      </c>
      <c r="O89" s="32">
        <f t="shared" si="64"/>
        <v>0</v>
      </c>
      <c r="Q89" s="32">
        <f t="shared" si="65"/>
        <v>0</v>
      </c>
      <c r="R89" s="32">
        <f t="shared" si="66"/>
        <v>0</v>
      </c>
      <c r="S89" s="32">
        <f t="shared" si="67"/>
        <v>0</v>
      </c>
      <c r="T89" s="32">
        <f t="shared" si="68"/>
        <v>0</v>
      </c>
      <c r="U89" s="32">
        <f t="shared" si="69"/>
        <v>0</v>
      </c>
      <c r="V89" s="32">
        <f t="shared" si="70"/>
        <v>0</v>
      </c>
      <c r="W89" s="32">
        <f t="shared" si="71"/>
        <v>0</v>
      </c>
      <c r="X89" s="26"/>
      <c r="Y89" s="17">
        <f t="shared" si="72"/>
        <v>0</v>
      </c>
      <c r="Z89" s="17">
        <f t="shared" si="73"/>
        <v>0</v>
      </c>
      <c r="AA89" s="17">
        <f t="shared" si="74"/>
        <v>0</v>
      </c>
      <c r="AC89" s="32">
        <v>21</v>
      </c>
      <c r="AD89" s="32">
        <f t="shared" si="75"/>
        <v>0</v>
      </c>
      <c r="AE89" s="32">
        <f t="shared" si="76"/>
        <v>0</v>
      </c>
      <c r="AF89" s="29" t="s">
        <v>11</v>
      </c>
      <c r="AL89" s="32">
        <f t="shared" si="77"/>
        <v>0</v>
      </c>
      <c r="AM89" s="32">
        <f t="shared" si="78"/>
        <v>0</v>
      </c>
      <c r="AN89" s="33" t="s">
        <v>284</v>
      </c>
      <c r="AO89" s="33" t="s">
        <v>292</v>
      </c>
      <c r="AP89" s="26" t="s">
        <v>293</v>
      </c>
      <c r="AR89" s="32">
        <f t="shared" si="79"/>
        <v>0</v>
      </c>
      <c r="AS89" s="32">
        <f t="shared" si="80"/>
        <v>0</v>
      </c>
      <c r="AT89" s="32">
        <v>0</v>
      </c>
      <c r="AU89" s="32">
        <f t="shared" si="81"/>
        <v>0</v>
      </c>
    </row>
    <row r="90" spans="1:47" ht="12.75">
      <c r="A90" s="5" t="s">
        <v>65</v>
      </c>
      <c r="B90" s="5"/>
      <c r="C90" s="5" t="s">
        <v>146</v>
      </c>
      <c r="D90" s="5" t="s">
        <v>228</v>
      </c>
      <c r="E90" s="5" t="s">
        <v>241</v>
      </c>
      <c r="F90" s="17">
        <v>4.31243</v>
      </c>
      <c r="G90" s="17"/>
      <c r="H90" s="17">
        <f t="shared" si="60"/>
        <v>0</v>
      </c>
      <c r="I90" s="17">
        <f t="shared" si="61"/>
        <v>0</v>
      </c>
      <c r="J90" s="17">
        <f t="shared" si="62"/>
        <v>0</v>
      </c>
      <c r="K90" s="17">
        <v>0</v>
      </c>
      <c r="L90" s="17">
        <f t="shared" si="63"/>
        <v>0</v>
      </c>
      <c r="O90" s="32">
        <f t="shared" si="64"/>
        <v>0</v>
      </c>
      <c r="Q90" s="32">
        <f t="shared" si="65"/>
        <v>0</v>
      </c>
      <c r="R90" s="32">
        <f t="shared" si="66"/>
        <v>0</v>
      </c>
      <c r="S90" s="32">
        <f t="shared" si="67"/>
        <v>0</v>
      </c>
      <c r="T90" s="32">
        <f t="shared" si="68"/>
        <v>0</v>
      </c>
      <c r="U90" s="32">
        <f t="shared" si="69"/>
        <v>0</v>
      </c>
      <c r="V90" s="32">
        <f t="shared" si="70"/>
        <v>0</v>
      </c>
      <c r="W90" s="32">
        <f t="shared" si="71"/>
        <v>0</v>
      </c>
      <c r="X90" s="26"/>
      <c r="Y90" s="17">
        <f t="shared" si="72"/>
        <v>0</v>
      </c>
      <c r="Z90" s="17">
        <f t="shared" si="73"/>
        <v>0</v>
      </c>
      <c r="AA90" s="17">
        <f t="shared" si="74"/>
        <v>0</v>
      </c>
      <c r="AC90" s="32">
        <v>21</v>
      </c>
      <c r="AD90" s="32">
        <f t="shared" si="75"/>
        <v>0</v>
      </c>
      <c r="AE90" s="32">
        <f t="shared" si="76"/>
        <v>0</v>
      </c>
      <c r="AF90" s="29" t="s">
        <v>11</v>
      </c>
      <c r="AL90" s="32">
        <f t="shared" si="77"/>
        <v>0</v>
      </c>
      <c r="AM90" s="32">
        <f t="shared" si="78"/>
        <v>0</v>
      </c>
      <c r="AN90" s="33" t="s">
        <v>284</v>
      </c>
      <c r="AO90" s="33" t="s">
        <v>292</v>
      </c>
      <c r="AP90" s="26" t="s">
        <v>293</v>
      </c>
      <c r="AR90" s="32">
        <f t="shared" si="79"/>
        <v>0</v>
      </c>
      <c r="AS90" s="32">
        <f t="shared" si="80"/>
        <v>0</v>
      </c>
      <c r="AT90" s="32">
        <v>0</v>
      </c>
      <c r="AU90" s="32">
        <f t="shared" si="81"/>
        <v>0</v>
      </c>
    </row>
    <row r="91" spans="1:47" ht="12.75">
      <c r="A91" s="5" t="s">
        <v>66</v>
      </c>
      <c r="B91" s="5"/>
      <c r="C91" s="5" t="s">
        <v>147</v>
      </c>
      <c r="D91" s="5" t="s">
        <v>229</v>
      </c>
      <c r="E91" s="5" t="s">
        <v>241</v>
      </c>
      <c r="F91" s="17">
        <v>4.31243</v>
      </c>
      <c r="G91" s="17"/>
      <c r="H91" s="17">
        <f t="shared" si="60"/>
        <v>0</v>
      </c>
      <c r="I91" s="17">
        <f t="shared" si="61"/>
        <v>0</v>
      </c>
      <c r="J91" s="17">
        <f t="shared" si="62"/>
        <v>0</v>
      </c>
      <c r="K91" s="17">
        <v>0</v>
      </c>
      <c r="L91" s="17">
        <f t="shared" si="63"/>
        <v>0</v>
      </c>
      <c r="O91" s="32">
        <f t="shared" si="64"/>
        <v>0</v>
      </c>
      <c r="Q91" s="32">
        <f t="shared" si="65"/>
        <v>0</v>
      </c>
      <c r="R91" s="32">
        <f t="shared" si="66"/>
        <v>0</v>
      </c>
      <c r="S91" s="32">
        <f t="shared" si="67"/>
        <v>0</v>
      </c>
      <c r="T91" s="32">
        <f t="shared" si="68"/>
        <v>0</v>
      </c>
      <c r="U91" s="32">
        <f t="shared" si="69"/>
        <v>0</v>
      </c>
      <c r="V91" s="32">
        <f t="shared" si="70"/>
        <v>0</v>
      </c>
      <c r="W91" s="32">
        <f t="shared" si="71"/>
        <v>0</v>
      </c>
      <c r="X91" s="26"/>
      <c r="Y91" s="17">
        <f t="shared" si="72"/>
        <v>0</v>
      </c>
      <c r="Z91" s="17">
        <f t="shared" si="73"/>
        <v>0</v>
      </c>
      <c r="AA91" s="17">
        <f t="shared" si="74"/>
        <v>0</v>
      </c>
      <c r="AC91" s="32">
        <v>21</v>
      </c>
      <c r="AD91" s="32">
        <f t="shared" si="75"/>
        <v>0</v>
      </c>
      <c r="AE91" s="32">
        <f t="shared" si="76"/>
        <v>0</v>
      </c>
      <c r="AF91" s="29" t="s">
        <v>11</v>
      </c>
      <c r="AL91" s="32">
        <f t="shared" si="77"/>
        <v>0</v>
      </c>
      <c r="AM91" s="32">
        <f t="shared" si="78"/>
        <v>0</v>
      </c>
      <c r="AN91" s="33" t="s">
        <v>284</v>
      </c>
      <c r="AO91" s="33" t="s">
        <v>292</v>
      </c>
      <c r="AP91" s="26" t="s">
        <v>293</v>
      </c>
      <c r="AR91" s="32">
        <f t="shared" si="79"/>
        <v>0</v>
      </c>
      <c r="AS91" s="32">
        <f t="shared" si="80"/>
        <v>0</v>
      </c>
      <c r="AT91" s="32">
        <v>0</v>
      </c>
      <c r="AU91" s="32">
        <f t="shared" si="81"/>
        <v>0</v>
      </c>
    </row>
    <row r="92" spans="1:47" ht="12.75">
      <c r="A92" s="5" t="s">
        <v>67</v>
      </c>
      <c r="B92" s="5"/>
      <c r="C92" s="5" t="s">
        <v>148</v>
      </c>
      <c r="D92" s="5" t="s">
        <v>230</v>
      </c>
      <c r="E92" s="5" t="s">
        <v>241</v>
      </c>
      <c r="F92" s="17">
        <v>21.56215</v>
      </c>
      <c r="G92" s="17"/>
      <c r="H92" s="17">
        <f t="shared" si="60"/>
        <v>0</v>
      </c>
      <c r="I92" s="17">
        <f t="shared" si="61"/>
        <v>0</v>
      </c>
      <c r="J92" s="17">
        <f t="shared" si="62"/>
        <v>0</v>
      </c>
      <c r="K92" s="17">
        <v>0</v>
      </c>
      <c r="L92" s="17">
        <f t="shared" si="63"/>
        <v>0</v>
      </c>
      <c r="O92" s="32">
        <f t="shared" si="64"/>
        <v>0</v>
      </c>
      <c r="Q92" s="32">
        <f t="shared" si="65"/>
        <v>0</v>
      </c>
      <c r="R92" s="32">
        <f t="shared" si="66"/>
        <v>0</v>
      </c>
      <c r="S92" s="32">
        <f t="shared" si="67"/>
        <v>0</v>
      </c>
      <c r="T92" s="32">
        <f t="shared" si="68"/>
        <v>0</v>
      </c>
      <c r="U92" s="32">
        <f t="shared" si="69"/>
        <v>0</v>
      </c>
      <c r="V92" s="32">
        <f t="shared" si="70"/>
        <v>0</v>
      </c>
      <c r="W92" s="32">
        <f t="shared" si="71"/>
        <v>0</v>
      </c>
      <c r="X92" s="26"/>
      <c r="Y92" s="17">
        <f t="shared" si="72"/>
        <v>0</v>
      </c>
      <c r="Z92" s="17">
        <f t="shared" si="73"/>
        <v>0</v>
      </c>
      <c r="AA92" s="17">
        <f t="shared" si="74"/>
        <v>0</v>
      </c>
      <c r="AC92" s="32">
        <v>21</v>
      </c>
      <c r="AD92" s="32">
        <f t="shared" si="75"/>
        <v>0</v>
      </c>
      <c r="AE92" s="32">
        <f t="shared" si="76"/>
        <v>0</v>
      </c>
      <c r="AF92" s="29" t="s">
        <v>11</v>
      </c>
      <c r="AL92" s="32">
        <f t="shared" si="77"/>
        <v>0</v>
      </c>
      <c r="AM92" s="32">
        <f t="shared" si="78"/>
        <v>0</v>
      </c>
      <c r="AN92" s="33" t="s">
        <v>284</v>
      </c>
      <c r="AO92" s="33" t="s">
        <v>292</v>
      </c>
      <c r="AP92" s="26" t="s">
        <v>293</v>
      </c>
      <c r="AR92" s="32">
        <f t="shared" si="79"/>
        <v>0</v>
      </c>
      <c r="AS92" s="32">
        <f t="shared" si="80"/>
        <v>0</v>
      </c>
      <c r="AT92" s="32">
        <v>0</v>
      </c>
      <c r="AU92" s="32">
        <f t="shared" si="81"/>
        <v>0</v>
      </c>
    </row>
    <row r="93" spans="1:47" ht="12.75">
      <c r="A93" s="8" t="s">
        <v>340</v>
      </c>
      <c r="B93" s="8"/>
      <c r="C93" s="8" t="s">
        <v>149</v>
      </c>
      <c r="D93" s="8" t="s">
        <v>231</v>
      </c>
      <c r="E93" s="8" t="s">
        <v>241</v>
      </c>
      <c r="F93" s="19">
        <v>4.31243</v>
      </c>
      <c r="G93" s="19"/>
      <c r="H93" s="19">
        <f t="shared" si="60"/>
        <v>0</v>
      </c>
      <c r="I93" s="19">
        <f t="shared" si="61"/>
        <v>0</v>
      </c>
      <c r="J93" s="19">
        <f t="shared" si="62"/>
        <v>0</v>
      </c>
      <c r="K93" s="19">
        <v>0</v>
      </c>
      <c r="L93" s="19">
        <f t="shared" si="63"/>
        <v>0</v>
      </c>
      <c r="O93" s="32">
        <f t="shared" si="64"/>
        <v>0</v>
      </c>
      <c r="Q93" s="32">
        <f t="shared" si="65"/>
        <v>0</v>
      </c>
      <c r="R93" s="32">
        <f t="shared" si="66"/>
        <v>0</v>
      </c>
      <c r="S93" s="32">
        <f t="shared" si="67"/>
        <v>0</v>
      </c>
      <c r="T93" s="32">
        <f t="shared" si="68"/>
        <v>0</v>
      </c>
      <c r="U93" s="32">
        <f t="shared" si="69"/>
        <v>0</v>
      </c>
      <c r="V93" s="32">
        <f t="shared" si="70"/>
        <v>0</v>
      </c>
      <c r="W93" s="32">
        <f t="shared" si="71"/>
        <v>0</v>
      </c>
      <c r="X93" s="26"/>
      <c r="Y93" s="17">
        <f t="shared" si="72"/>
        <v>0</v>
      </c>
      <c r="Z93" s="17">
        <f t="shared" si="73"/>
        <v>0</v>
      </c>
      <c r="AA93" s="17">
        <f t="shared" si="74"/>
        <v>0</v>
      </c>
      <c r="AC93" s="32">
        <v>21</v>
      </c>
      <c r="AD93" s="32">
        <f t="shared" si="75"/>
        <v>0</v>
      </c>
      <c r="AE93" s="32">
        <f t="shared" si="76"/>
        <v>0</v>
      </c>
      <c r="AF93" s="29" t="s">
        <v>11</v>
      </c>
      <c r="AL93" s="32">
        <f t="shared" si="77"/>
        <v>0</v>
      </c>
      <c r="AM93" s="32">
        <f t="shared" si="78"/>
        <v>0</v>
      </c>
      <c r="AN93" s="33" t="s">
        <v>284</v>
      </c>
      <c r="AO93" s="33" t="s">
        <v>292</v>
      </c>
      <c r="AP93" s="26" t="s">
        <v>293</v>
      </c>
      <c r="AR93" s="32">
        <f t="shared" si="79"/>
        <v>0</v>
      </c>
      <c r="AS93" s="32">
        <f t="shared" si="80"/>
        <v>0</v>
      </c>
      <c r="AT93" s="32">
        <v>0</v>
      </c>
      <c r="AU93" s="32">
        <f t="shared" si="81"/>
        <v>0</v>
      </c>
    </row>
    <row r="94" spans="1:12" ht="12.75">
      <c r="A94" s="9"/>
      <c r="B94" s="9"/>
      <c r="C94" s="9"/>
      <c r="D94" s="9"/>
      <c r="E94" s="9"/>
      <c r="F94" s="9"/>
      <c r="G94" s="9"/>
      <c r="H94" s="62" t="s">
        <v>248</v>
      </c>
      <c r="I94" s="63"/>
      <c r="J94" s="36">
        <f>J12+J14+J21+J23+J25+J30+J32+J38+J40+J45+J52+J59+J65+J67+J72+J74+J80+J83+J85+J87</f>
        <v>0</v>
      </c>
      <c r="K94" s="9"/>
      <c r="L94" s="9"/>
    </row>
    <row r="95" ht="11.25" customHeight="1">
      <c r="A95" s="10" t="s">
        <v>68</v>
      </c>
    </row>
    <row r="96" spans="1:12" ht="12.75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</sheetData>
  <mergeCells count="29">
    <mergeCell ref="A1:L1"/>
    <mergeCell ref="A2:C3"/>
    <mergeCell ref="D2:D3"/>
    <mergeCell ref="E2:F3"/>
    <mergeCell ref="G2:H3"/>
    <mergeCell ref="I2:I3"/>
    <mergeCell ref="J2:L3"/>
    <mergeCell ref="J6:L7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H10:J10"/>
    <mergeCell ref="K10:L10"/>
    <mergeCell ref="H94:I94"/>
    <mergeCell ref="A96:L96"/>
    <mergeCell ref="A8:C9"/>
    <mergeCell ref="D8:D9"/>
    <mergeCell ref="E8:F9"/>
    <mergeCell ref="G8:H9"/>
    <mergeCell ref="I8:I9"/>
    <mergeCell ref="J8:L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1"/>
      <c r="B1" s="37"/>
      <c r="C1" s="104" t="s">
        <v>309</v>
      </c>
      <c r="D1" s="105"/>
      <c r="E1" s="105"/>
      <c r="F1" s="105"/>
      <c r="G1" s="105"/>
      <c r="H1" s="105"/>
      <c r="I1" s="105"/>
    </row>
    <row r="2" spans="1:10" ht="12.75">
      <c r="A2" s="73" t="s">
        <v>1</v>
      </c>
      <c r="B2" s="74"/>
      <c r="C2" s="75" t="str">
        <f>'Stavební rozpočet'!D2</f>
        <v>Rekonstrukce sociálního zařízení chlapců 2. NP ZŠ Nádražní</v>
      </c>
      <c r="D2" s="63"/>
      <c r="E2" s="78" t="s">
        <v>249</v>
      </c>
      <c r="F2" s="78" t="str">
        <f>'Stavební rozpočet'!J2</f>
        <v xml:space="preserve"> </v>
      </c>
      <c r="G2" s="74"/>
      <c r="H2" s="78" t="s">
        <v>335</v>
      </c>
      <c r="I2" s="106"/>
      <c r="J2" s="1"/>
    </row>
    <row r="3" spans="1:10" ht="12.75">
      <c r="A3" s="70"/>
      <c r="B3" s="65"/>
      <c r="C3" s="76"/>
      <c r="D3" s="76"/>
      <c r="E3" s="65"/>
      <c r="F3" s="65"/>
      <c r="G3" s="65"/>
      <c r="H3" s="65"/>
      <c r="I3" s="101"/>
      <c r="J3" s="1"/>
    </row>
    <row r="4" spans="1:10" ht="12.75">
      <c r="A4" s="66" t="s">
        <v>2</v>
      </c>
      <c r="B4" s="65"/>
      <c r="C4" s="64" t="s">
        <v>348</v>
      </c>
      <c r="D4" s="65"/>
      <c r="E4" s="64" t="s">
        <v>250</v>
      </c>
      <c r="F4" s="64" t="str">
        <f>'Stavební rozpočet'!J4</f>
        <v xml:space="preserve"> </v>
      </c>
      <c r="G4" s="65"/>
      <c r="H4" s="64" t="s">
        <v>335</v>
      </c>
      <c r="I4" s="100"/>
      <c r="J4" s="1"/>
    </row>
    <row r="5" spans="1:10" ht="12.75">
      <c r="A5" s="70"/>
      <c r="B5" s="65"/>
      <c r="C5" s="65"/>
      <c r="D5" s="65"/>
      <c r="E5" s="65"/>
      <c r="F5" s="65"/>
      <c r="G5" s="65"/>
      <c r="H5" s="65"/>
      <c r="I5" s="101"/>
      <c r="J5" s="1"/>
    </row>
    <row r="6" spans="1:10" ht="12.75">
      <c r="A6" s="66" t="s">
        <v>3</v>
      </c>
      <c r="B6" s="65"/>
      <c r="C6" s="64" t="str">
        <f>'Stavební rozpočet'!D6</f>
        <v>Česká Třebová</v>
      </c>
      <c r="D6" s="65"/>
      <c r="E6" s="64" t="s">
        <v>251</v>
      </c>
      <c r="F6" s="64"/>
      <c r="G6" s="65"/>
      <c r="H6" s="64" t="s">
        <v>335</v>
      </c>
      <c r="I6" s="100"/>
      <c r="J6" s="1"/>
    </row>
    <row r="7" spans="1:10" ht="12.75">
      <c r="A7" s="70"/>
      <c r="B7" s="65"/>
      <c r="C7" s="65"/>
      <c r="D7" s="65"/>
      <c r="E7" s="65"/>
      <c r="F7" s="65"/>
      <c r="G7" s="65"/>
      <c r="H7" s="65"/>
      <c r="I7" s="101"/>
      <c r="J7" s="1"/>
    </row>
    <row r="8" spans="1:10" ht="12.75">
      <c r="A8" s="66" t="s">
        <v>233</v>
      </c>
      <c r="B8" s="65"/>
      <c r="C8" s="64" t="str">
        <f>'Stavební rozpočet'!G4</f>
        <v xml:space="preserve"> </v>
      </c>
      <c r="D8" s="65"/>
      <c r="E8" s="64" t="s">
        <v>234</v>
      </c>
      <c r="F8" s="64" t="str">
        <f>'Stavební rozpočet'!G6</f>
        <v xml:space="preserve"> </v>
      </c>
      <c r="G8" s="65"/>
      <c r="H8" s="69" t="s">
        <v>336</v>
      </c>
      <c r="I8" s="100" t="s">
        <v>340</v>
      </c>
      <c r="J8" s="1"/>
    </row>
    <row r="9" spans="1:10" ht="12.75">
      <c r="A9" s="70"/>
      <c r="B9" s="65"/>
      <c r="C9" s="65"/>
      <c r="D9" s="65"/>
      <c r="E9" s="65"/>
      <c r="F9" s="65"/>
      <c r="G9" s="65"/>
      <c r="H9" s="65"/>
      <c r="I9" s="101"/>
      <c r="J9" s="1"/>
    </row>
    <row r="10" spans="1:10" ht="12.75">
      <c r="A10" s="66" t="s">
        <v>4</v>
      </c>
      <c r="B10" s="65"/>
      <c r="C10" s="64" t="str">
        <f>'Stavební rozpočet'!D8</f>
        <v xml:space="preserve"> </v>
      </c>
      <c r="D10" s="65"/>
      <c r="E10" s="64" t="s">
        <v>252</v>
      </c>
      <c r="F10" s="64" t="str">
        <f>'Stavební rozpočet'!J8</f>
        <v>Martin Hlaváček</v>
      </c>
      <c r="G10" s="65"/>
      <c r="H10" s="69" t="s">
        <v>337</v>
      </c>
      <c r="I10" s="98" t="str">
        <f>'Stavební rozpočet'!G8</f>
        <v>16.06.2021</v>
      </c>
      <c r="J10" s="1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99"/>
      <c r="J11" s="1"/>
    </row>
    <row r="12" spans="1:9" ht="23.45" customHeight="1">
      <c r="A12" s="94" t="s">
        <v>294</v>
      </c>
      <c r="B12" s="95"/>
      <c r="C12" s="95"/>
      <c r="D12" s="95"/>
      <c r="E12" s="95"/>
      <c r="F12" s="95"/>
      <c r="G12" s="95"/>
      <c r="H12" s="95"/>
      <c r="I12" s="95"/>
    </row>
    <row r="13" spans="1:10" ht="26.45" customHeight="1">
      <c r="A13" s="39" t="s">
        <v>295</v>
      </c>
      <c r="B13" s="96" t="s">
        <v>307</v>
      </c>
      <c r="C13" s="97"/>
      <c r="D13" s="39" t="s">
        <v>310</v>
      </c>
      <c r="E13" s="96" t="s">
        <v>320</v>
      </c>
      <c r="F13" s="97"/>
      <c r="G13" s="39" t="s">
        <v>321</v>
      </c>
      <c r="H13" s="96" t="s">
        <v>338</v>
      </c>
      <c r="I13" s="97"/>
      <c r="J13" s="1"/>
    </row>
    <row r="14" spans="1:10" ht="15.2" customHeight="1">
      <c r="A14" s="40" t="s">
        <v>296</v>
      </c>
      <c r="B14" s="44" t="s">
        <v>308</v>
      </c>
      <c r="C14" s="46">
        <f>SUM('Stavební rozpočet'!Q12:Q93)</f>
        <v>0</v>
      </c>
      <c r="D14" s="92" t="s">
        <v>311</v>
      </c>
      <c r="E14" s="93"/>
      <c r="F14" s="46">
        <v>0</v>
      </c>
      <c r="G14" s="92" t="s">
        <v>322</v>
      </c>
      <c r="H14" s="93"/>
      <c r="I14" s="46">
        <v>0</v>
      </c>
      <c r="J14" s="1"/>
    </row>
    <row r="15" spans="1:10" ht="15.2" customHeight="1">
      <c r="A15" s="41"/>
      <c r="B15" s="44" t="s">
        <v>253</v>
      </c>
      <c r="C15" s="46">
        <f>SUM('Stavební rozpočet'!R12:R93)</f>
        <v>0</v>
      </c>
      <c r="D15" s="92" t="s">
        <v>312</v>
      </c>
      <c r="E15" s="93"/>
      <c r="F15" s="46">
        <v>0</v>
      </c>
      <c r="G15" s="92" t="s">
        <v>323</v>
      </c>
      <c r="H15" s="93"/>
      <c r="I15" s="46">
        <v>3500</v>
      </c>
      <c r="J15" s="1"/>
    </row>
    <row r="16" spans="1:10" ht="15.2" customHeight="1">
      <c r="A16" s="40" t="s">
        <v>297</v>
      </c>
      <c r="B16" s="44" t="s">
        <v>308</v>
      </c>
      <c r="C16" s="46">
        <f>SUM('Stavební rozpočet'!S12:S93)</f>
        <v>0</v>
      </c>
      <c r="D16" s="92" t="s">
        <v>313</v>
      </c>
      <c r="E16" s="93"/>
      <c r="F16" s="46">
        <v>0</v>
      </c>
      <c r="G16" s="92" t="s">
        <v>324</v>
      </c>
      <c r="H16" s="93"/>
      <c r="I16" s="46">
        <v>0</v>
      </c>
      <c r="J16" s="1"/>
    </row>
    <row r="17" spans="1:10" ht="15.2" customHeight="1">
      <c r="A17" s="41"/>
      <c r="B17" s="44" t="s">
        <v>253</v>
      </c>
      <c r="C17" s="46">
        <f>SUM('Stavební rozpočet'!T12:T93)</f>
        <v>0</v>
      </c>
      <c r="D17" s="92" t="s">
        <v>314</v>
      </c>
      <c r="E17" s="93"/>
      <c r="F17" s="46">
        <f>ROUND(C22*(6/100),2)</f>
        <v>0</v>
      </c>
      <c r="G17" s="92" t="s">
        <v>325</v>
      </c>
      <c r="H17" s="93"/>
      <c r="I17" s="46">
        <v>0</v>
      </c>
      <c r="J17" s="1"/>
    </row>
    <row r="18" spans="1:10" ht="15.2" customHeight="1">
      <c r="A18" s="40" t="s">
        <v>298</v>
      </c>
      <c r="B18" s="44" t="s">
        <v>308</v>
      </c>
      <c r="C18" s="46">
        <f>SUM('Stavební rozpočet'!U12:U93)</f>
        <v>0</v>
      </c>
      <c r="D18" s="92"/>
      <c r="E18" s="93"/>
      <c r="F18" s="47"/>
      <c r="G18" s="92" t="s">
        <v>326</v>
      </c>
      <c r="H18" s="93"/>
      <c r="I18" s="46">
        <v>0</v>
      </c>
      <c r="J18" s="1"/>
    </row>
    <row r="19" spans="1:10" ht="15.2" customHeight="1">
      <c r="A19" s="41"/>
      <c r="B19" s="44" t="s">
        <v>253</v>
      </c>
      <c r="C19" s="46">
        <f>SUM('Stavební rozpočet'!V12:V93)</f>
        <v>0</v>
      </c>
      <c r="D19" s="92"/>
      <c r="E19" s="93"/>
      <c r="F19" s="47"/>
      <c r="G19" s="92" t="s">
        <v>327</v>
      </c>
      <c r="H19" s="93"/>
      <c r="I19" s="46">
        <v>0</v>
      </c>
      <c r="J19" s="1"/>
    </row>
    <row r="20" spans="1:10" ht="15.2" customHeight="1">
      <c r="A20" s="90" t="s">
        <v>299</v>
      </c>
      <c r="B20" s="91"/>
      <c r="C20" s="46">
        <f>SUM('Stavební rozpočet'!W12:W93)</f>
        <v>0</v>
      </c>
      <c r="D20" s="92"/>
      <c r="E20" s="93"/>
      <c r="F20" s="47"/>
      <c r="G20" s="92"/>
      <c r="H20" s="93"/>
      <c r="I20" s="47"/>
      <c r="J20" s="1"/>
    </row>
    <row r="21" spans="1:10" ht="15.2" customHeight="1">
      <c r="A21" s="90" t="s">
        <v>300</v>
      </c>
      <c r="B21" s="91"/>
      <c r="C21" s="46">
        <f>SUM('Stavební rozpočet'!O12:O93)</f>
        <v>0</v>
      </c>
      <c r="D21" s="92"/>
      <c r="E21" s="93"/>
      <c r="F21" s="47"/>
      <c r="G21" s="92"/>
      <c r="H21" s="93"/>
      <c r="I21" s="47"/>
      <c r="J21" s="1"/>
    </row>
    <row r="22" spans="1:10" ht="16.7" customHeight="1">
      <c r="A22" s="90" t="s">
        <v>301</v>
      </c>
      <c r="B22" s="91"/>
      <c r="C22" s="46">
        <f>SUM(C14:C21)</f>
        <v>0</v>
      </c>
      <c r="D22" s="90" t="s">
        <v>315</v>
      </c>
      <c r="E22" s="91"/>
      <c r="F22" s="46">
        <f>SUM(F14:F21)</f>
        <v>0</v>
      </c>
      <c r="G22" s="90" t="s">
        <v>328</v>
      </c>
      <c r="H22" s="91"/>
      <c r="I22" s="46">
        <f>SUM(I14:I21)</f>
        <v>3500</v>
      </c>
      <c r="J22" s="1"/>
    </row>
    <row r="23" spans="1:10" ht="15.2" customHeight="1">
      <c r="A23" s="9"/>
      <c r="B23" s="9"/>
      <c r="C23" s="27"/>
      <c r="D23" s="90" t="s">
        <v>316</v>
      </c>
      <c r="E23" s="91"/>
      <c r="F23" s="48">
        <v>0</v>
      </c>
      <c r="G23" s="90" t="s">
        <v>329</v>
      </c>
      <c r="H23" s="91"/>
      <c r="I23" s="46">
        <v>0</v>
      </c>
      <c r="J23" s="1"/>
    </row>
    <row r="24" spans="4:10" ht="15.2" customHeight="1">
      <c r="D24" s="9"/>
      <c r="E24" s="9"/>
      <c r="F24" s="49"/>
      <c r="G24" s="90" t="s">
        <v>330</v>
      </c>
      <c r="H24" s="91"/>
      <c r="I24" s="46">
        <v>0</v>
      </c>
      <c r="J24" s="1"/>
    </row>
    <row r="25" spans="6:10" ht="15.2" customHeight="1">
      <c r="F25" s="28"/>
      <c r="G25" s="90" t="s">
        <v>331</v>
      </c>
      <c r="H25" s="91"/>
      <c r="I25" s="46">
        <v>0</v>
      </c>
      <c r="J25" s="1"/>
    </row>
    <row r="26" spans="1:9" ht="12.75">
      <c r="A26" s="37"/>
      <c r="B26" s="37"/>
      <c r="C26" s="37"/>
      <c r="G26" s="9"/>
      <c r="H26" s="9"/>
      <c r="I26" s="9"/>
    </row>
    <row r="27" spans="1:9" ht="15.2" customHeight="1">
      <c r="A27" s="85" t="s">
        <v>302</v>
      </c>
      <c r="B27" s="86"/>
      <c r="C27" s="50">
        <f>SUM('Stavební rozpočet'!Y12:Y93)</f>
        <v>0</v>
      </c>
      <c r="D27" s="38"/>
      <c r="E27" s="37"/>
      <c r="F27" s="37"/>
      <c r="G27" s="37"/>
      <c r="H27" s="37"/>
      <c r="I27" s="37"/>
    </row>
    <row r="28" spans="1:10" ht="15.2" customHeight="1">
      <c r="A28" s="85" t="s">
        <v>303</v>
      </c>
      <c r="B28" s="86"/>
      <c r="C28" s="50">
        <f>SUM('Stavební rozpočet'!Z12:Z93)</f>
        <v>0</v>
      </c>
      <c r="D28" s="85" t="s">
        <v>317</v>
      </c>
      <c r="E28" s="86"/>
      <c r="F28" s="50">
        <f>ROUND(C28*(15/100),2)</f>
        <v>0</v>
      </c>
      <c r="G28" s="85" t="s">
        <v>332</v>
      </c>
      <c r="H28" s="86"/>
      <c r="I28" s="50">
        <f>SUM(C27:C29)</f>
        <v>3500</v>
      </c>
      <c r="J28" s="1"/>
    </row>
    <row r="29" spans="1:10" ht="15.2" customHeight="1">
      <c r="A29" s="85" t="s">
        <v>304</v>
      </c>
      <c r="B29" s="86"/>
      <c r="C29" s="50">
        <f>SUM('Stavební rozpočet'!AA12:AA93)+(F22+I22+F23+I23+I24+I25)</f>
        <v>3500</v>
      </c>
      <c r="D29" s="85" t="s">
        <v>318</v>
      </c>
      <c r="E29" s="86"/>
      <c r="F29" s="50">
        <f>ROUND(C29*(21/100),2)</f>
        <v>735</v>
      </c>
      <c r="G29" s="85" t="s">
        <v>333</v>
      </c>
      <c r="H29" s="86"/>
      <c r="I29" s="50">
        <f>SUM(F28:F29)+I28</f>
        <v>4235</v>
      </c>
      <c r="J29" s="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45" customHeight="1">
      <c r="A31" s="87" t="s">
        <v>305</v>
      </c>
      <c r="B31" s="88"/>
      <c r="C31" s="89"/>
      <c r="D31" s="87" t="s">
        <v>319</v>
      </c>
      <c r="E31" s="88"/>
      <c r="F31" s="89"/>
      <c r="G31" s="87" t="s">
        <v>334</v>
      </c>
      <c r="H31" s="88"/>
      <c r="I31" s="89"/>
      <c r="J31" s="31"/>
    </row>
    <row r="32" spans="1:10" ht="14.45" customHeight="1">
      <c r="A32" s="79"/>
      <c r="B32" s="80"/>
      <c r="C32" s="81"/>
      <c r="D32" s="79"/>
      <c r="E32" s="80"/>
      <c r="F32" s="81"/>
      <c r="G32" s="79"/>
      <c r="H32" s="80"/>
      <c r="I32" s="81"/>
      <c r="J32" s="31"/>
    </row>
    <row r="33" spans="1:10" ht="14.45" customHeight="1">
      <c r="A33" s="79"/>
      <c r="B33" s="80"/>
      <c r="C33" s="81"/>
      <c r="D33" s="79"/>
      <c r="E33" s="80"/>
      <c r="F33" s="81"/>
      <c r="G33" s="79"/>
      <c r="H33" s="80"/>
      <c r="I33" s="81"/>
      <c r="J33" s="31"/>
    </row>
    <row r="34" spans="1:10" ht="14.45" customHeight="1">
      <c r="A34" s="79"/>
      <c r="B34" s="80"/>
      <c r="C34" s="81"/>
      <c r="D34" s="79"/>
      <c r="E34" s="80"/>
      <c r="F34" s="81"/>
      <c r="G34" s="79"/>
      <c r="H34" s="80"/>
      <c r="I34" s="81"/>
      <c r="J34" s="31"/>
    </row>
    <row r="35" spans="1:10" ht="14.45" customHeight="1">
      <c r="A35" s="82" t="s">
        <v>306</v>
      </c>
      <c r="B35" s="83"/>
      <c r="C35" s="84"/>
      <c r="D35" s="82" t="s">
        <v>306</v>
      </c>
      <c r="E35" s="83"/>
      <c r="F35" s="84"/>
      <c r="G35" s="82" t="s">
        <v>306</v>
      </c>
      <c r="H35" s="83"/>
      <c r="I35" s="84"/>
      <c r="J35" s="31"/>
    </row>
    <row r="36" spans="1:9" ht="11.25" customHeight="1">
      <c r="A36" s="43" t="s">
        <v>68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4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Hlaváček Martin</cp:lastModifiedBy>
  <dcterms:created xsi:type="dcterms:W3CDTF">2021-06-16T13:14:33Z</dcterms:created>
  <dcterms:modified xsi:type="dcterms:W3CDTF">2021-06-16T14:09:35Z</dcterms:modified>
  <cp:category/>
  <cp:version/>
  <cp:contentType/>
  <cp:contentStatus/>
</cp:coreProperties>
</file>