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_rels/.rels" ContentType="application/vnd.openxmlformats-package.relationship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 showHorizontalScroll="true" showVerticalScroll="true" showSheetTabs="true"/>
  </bookViews>
  <sheets>
    <sheet name="Krycí list rozpočtu" sheetId="1" r:id="rId1"/>
    <sheet name="VORN" sheetId="2" state="hidden" r:id="rId2"/>
    <sheet name="Rozpočet - objekty" sheetId="3" r:id="rId3"/>
    <sheet name="Stavební rozpočet" sheetId="4" r:id="rId4"/>
  </sheets>
  <definedNames>
    <definedName name="vorn_sum">VORN!$I$45</definedName>
  </definedNames>
  <calcPr refMode="A1"/>
</workbook>
</file>

<file path=xl/sharedStrings.xml><?xml version="1.0" encoding="utf-8"?>
<sst xmlns="http://schemas.openxmlformats.org/spreadsheetml/2006/main" count="457" uniqueCount="457">
  <si>
    <t>Krycí list slepého rozpočtu</t>
  </si>
  <si>
    <t>Název stavby:</t>
  </si>
  <si>
    <t>Objednatel:</t>
  </si>
  <si>
    <t>IČO/DIČ:</t>
  </si>
  <si>
    <t>00278653/CZ00278653</t>
  </si>
  <si>
    <t>Druh stavby:</t>
  </si>
  <si>
    <t>Projektant:</t>
  </si>
  <si>
    <t>08905738/CZ08905738</t>
  </si>
  <si>
    <t>Lokalita:</t>
  </si>
  <si>
    <t>Zhotovitel:</t>
  </si>
  <si>
    <t/>
  </si>
  <si>
    <t>Začátek výstavby:</t>
  </si>
  <si>
    <t>Konec výstavby:</t>
  </si>
  <si>
    <t>Položek:</t>
  </si>
  <si>
    <t>JKSO:</t>
  </si>
  <si>
    <t>Zpracoval:</t>
  </si>
  <si>
    <t>Datum:</t>
  </si>
  <si>
    <t>Rozpočtové náklady v Kč</t>
  </si>
  <si>
    <t>A</t>
  </si>
  <si>
    <t>Základní rozpočtové náklady</t>
  </si>
  <si>
    <t>B</t>
  </si>
  <si>
    <t>Doplňkové náklady</t>
  </si>
  <si>
    <t>C</t>
  </si>
  <si>
    <t>Náklady na umístění stavby (NUS)</t>
  </si>
  <si>
    <t>HSV</t>
  </si>
  <si>
    <t>Dodávky</t>
  </si>
  <si>
    <t>Práce přesčas</t>
  </si>
  <si>
    <t>Zařízení staveniště</t>
  </si>
  <si>
    <t>Montáž</t>
  </si>
  <si>
    <t>Bez pevné podl.</t>
  </si>
  <si>
    <t>Mimostav. doprava</t>
  </si>
  <si>
    <t>PSV</t>
  </si>
  <si>
    <t>Kulturní památka</t>
  </si>
  <si>
    <t>Územní vlivy</t>
  </si>
  <si>
    <t>Provozní vlivy</t>
  </si>
  <si>
    <t>"M"</t>
  </si>
  <si>
    <t>Ostatní</t>
  </si>
  <si>
    <t>NUS z rozpočtu</t>
  </si>
  <si>
    <t>Ostatní materiál</t>
  </si>
  <si>
    <t>Přesun hmot a sutí</t>
  </si>
  <si>
    <t>ZRN celkem</t>
  </si>
  <si>
    <t>DN celkem</t>
  </si>
  <si>
    <t>NUS celkem</t>
  </si>
  <si>
    <t>DN celkem z obj.</t>
  </si>
  <si>
    <t>NUS celkem z obj.</t>
  </si>
  <si>
    <t>VORN celkem</t>
  </si>
  <si>
    <t>VORN celkem z obj.</t>
  </si>
  <si>
    <t>Základ 0%</t>
  </si>
  <si>
    <t>Základ 12%</t>
  </si>
  <si>
    <t>DPH 12%</t>
  </si>
  <si>
    <t>Celkem bez DPH</t>
  </si>
  <si>
    <t>Základ 21%</t>
  </si>
  <si>
    <t>DPH 21%</t>
  </si>
  <si>
    <t>Celkem včetně DPH</t>
  </si>
  <si>
    <t>Projektant</t>
  </si>
  <si>
    <t>Objednatel</t>
  </si>
  <si>
    <t>Zhotovitel</t>
  </si>
  <si>
    <t>Datum, razítko a podpis</t>
  </si>
  <si>
    <t>Poznámka:</t>
  </si>
  <si>
    <t>Vedlejší a ostatní rozpočtové náklady</t>
  </si>
  <si>
    <t>Vedlejší rozpočtové náklady VRN</t>
  </si>
  <si>
    <t>Doplňkové náklady DN</t>
  </si>
  <si>
    <t>Kč</t>
  </si>
  <si>
    <t>%</t>
  </si>
  <si>
    <t>Základna</t>
  </si>
  <si>
    <t>Celkem DN</t>
  </si>
  <si>
    <t>Celkem NUS</t>
  </si>
  <si>
    <t>Celkem VRN</t>
  </si>
  <si>
    <t>Vedlejší a ostatní rozpočtové náklady VORN</t>
  </si>
  <si>
    <t>Ostatní rozpočtové náklady (VORN)</t>
  </si>
  <si>
    <t>Průzkumy, geodetické a projektové práce</t>
  </si>
  <si>
    <t>Příprava staveniště</t>
  </si>
  <si>
    <t>Inženýrské činnosti</t>
  </si>
  <si>
    <t>Finanční náklady</t>
  </si>
  <si>
    <t>Náklady na pracovníky</t>
  </si>
  <si>
    <t>Ostatní náklady</t>
  </si>
  <si>
    <t>Vlastní VORN</t>
  </si>
  <si>
    <t>Celkem VORN</t>
  </si>
  <si>
    <t>Slepý stavební rozpočet - Jen objekty celkem</t>
  </si>
  <si>
    <t>Doba výstavby:</t>
  </si>
  <si>
    <t>Zpracováno dne:</t>
  </si>
  <si>
    <t xml:space="preserve"> </t>
  </si>
  <si>
    <t>Náklady (Kč)</t>
  </si>
  <si>
    <t>Zkrácený popis</t>
  </si>
  <si>
    <t>Dodávka</t>
  </si>
  <si>
    <t>Celkem</t>
  </si>
  <si>
    <t>Komunikace</t>
  </si>
  <si>
    <t>F</t>
  </si>
  <si>
    <t>01</t>
  </si>
  <si>
    <t>Mobiliář</t>
  </si>
  <si>
    <t>02</t>
  </si>
  <si>
    <t>VORN</t>
  </si>
  <si>
    <t>Celkem:</t>
  </si>
  <si>
    <t>Slepý stavební rozpočet</t>
  </si>
  <si>
    <t>Parky nábřeží Třebovky, Lokalita Bezděkov</t>
  </si>
  <si>
    <t>Město Česká Třebová</t>
  </si>
  <si>
    <t>Dopravní infrastruktura</t>
  </si>
  <si>
    <t>24.04.2025</t>
  </si>
  <si>
    <t>PČDP s.r.o.</t>
  </si>
  <si>
    <t>Česká Třebová</t>
  </si>
  <si>
    <t> </t>
  </si>
  <si>
    <t>82229</t>
  </si>
  <si>
    <t>Ing. Michal Střeštík</t>
  </si>
  <si>
    <t>Č</t>
  </si>
  <si>
    <t>Kód</t>
  </si>
  <si>
    <t>Zkrácený popis / Varianta</t>
  </si>
  <si>
    <t>MJ</t>
  </si>
  <si>
    <t>Množství</t>
  </si>
  <si>
    <t>Cena/MJ</t>
  </si>
  <si>
    <t>Cenová</t>
  </si>
  <si>
    <t>ISWORK</t>
  </si>
  <si>
    <t>GROUPCODE</t>
  </si>
  <si>
    <t>VATTAX</t>
  </si>
  <si>
    <t>Rozměry</t>
  </si>
  <si>
    <t>(Kč)</t>
  </si>
  <si>
    <t>soustava</t>
  </si>
  <si>
    <t>Přesuny</t>
  </si>
  <si>
    <t>Typ skupiny</t>
  </si>
  <si>
    <t>HSV mat</t>
  </si>
  <si>
    <t>HSV prac</t>
  </si>
  <si>
    <t>PSV mat</t>
  </si>
  <si>
    <t>PSV prac</t>
  </si>
  <si>
    <t>Mont mat</t>
  </si>
  <si>
    <t>Mont prac</t>
  </si>
  <si>
    <t>Ostatní mat.</t>
  </si>
  <si>
    <t>MAT</t>
  </si>
  <si>
    <t>WORK</t>
  </si>
  <si>
    <t>CELK</t>
  </si>
  <si>
    <t>11</t>
  </si>
  <si>
    <t>Přípravné a přidružené práce</t>
  </si>
  <si>
    <t>1</t>
  </si>
  <si>
    <t>111203111R00</t>
  </si>
  <si>
    <t>Odstranění pařezu odfrézováním až do hloubky 50 cm</t>
  </si>
  <si>
    <t>m2</t>
  </si>
  <si>
    <t>RTS I / 2025</t>
  </si>
  <si>
    <t>11_</t>
  </si>
  <si>
    <t>01_1_</t>
  </si>
  <si>
    <t>01_</t>
  </si>
  <si>
    <t>P</t>
  </si>
  <si>
    <t>2</t>
  </si>
  <si>
    <t>113151114R00</t>
  </si>
  <si>
    <t>Fréz.živič.krytu pl.do 500 m2,pruh do 75 cm,tl.5cm</t>
  </si>
  <si>
    <t>3</t>
  </si>
  <si>
    <t>114203202R00</t>
  </si>
  <si>
    <t>Očištění lomového kamene od malty</t>
  </si>
  <si>
    <t>4</t>
  </si>
  <si>
    <t>113106222R00</t>
  </si>
  <si>
    <t>Rozebrání dlažeb z drobných kostek v betonu</t>
  </si>
  <si>
    <t>12</t>
  </si>
  <si>
    <t>Odkopávky a prokopávky</t>
  </si>
  <si>
    <t>5</t>
  </si>
  <si>
    <t>122100010RAA</t>
  </si>
  <si>
    <t>Odkopávky nezapažené v hornině 1-4</t>
  </si>
  <si>
    <t>m3</t>
  </si>
  <si>
    <t>12_</t>
  </si>
  <si>
    <t>Varianta:</t>
  </si>
  <si>
    <t>naložení, odvoz 1 km, uložení</t>
  </si>
  <si>
    <t>18</t>
  </si>
  <si>
    <t>Povrchové úpravy terénu</t>
  </si>
  <si>
    <t>6</t>
  </si>
  <si>
    <t>184807111R00</t>
  </si>
  <si>
    <t>Ochrana stromu bedněním - zřízení</t>
  </si>
  <si>
    <t>18_</t>
  </si>
  <si>
    <t>7</t>
  </si>
  <si>
    <t>184807112R00</t>
  </si>
  <si>
    <t>Ochrana stromu bedněním - odstranění</t>
  </si>
  <si>
    <t>8</t>
  </si>
  <si>
    <t>181300010RAB</t>
  </si>
  <si>
    <t>Rozprostření ornice v rovině tloušťka 150 mm</t>
  </si>
  <si>
    <t>dovoz ornice ze vzdálenosti 1km, osetí trávou</t>
  </si>
  <si>
    <t>9</t>
  </si>
  <si>
    <t>180400020RA0</t>
  </si>
  <si>
    <t>Založení trávníku parkového v rovině s dodáním osiva</t>
  </si>
  <si>
    <t>10</t>
  </si>
  <si>
    <t>181006112R00</t>
  </si>
  <si>
    <t>Rozprostření zemin v rov./sklonu 1:5, tl. do 15 cm</t>
  </si>
  <si>
    <t>181101102R00</t>
  </si>
  <si>
    <t>Úprava pláně v zářezech v hor. 1-4, se zhutněním</t>
  </si>
  <si>
    <t>R181351103</t>
  </si>
  <si>
    <t>Ornice tříděná - nákup</t>
  </si>
  <si>
    <t>27</t>
  </si>
  <si>
    <t>Základy</t>
  </si>
  <si>
    <t>13</t>
  </si>
  <si>
    <t>273351215R00</t>
  </si>
  <si>
    <t>Bednění stěn základových desek - zřízení</t>
  </si>
  <si>
    <t>27_</t>
  </si>
  <si>
    <t>01_2_</t>
  </si>
  <si>
    <t>NENACEŇOVAT - NENÍ SOUČÁSTÍ STAVBY</t>
  </si>
  <si>
    <t>14</t>
  </si>
  <si>
    <t>273351216R00</t>
  </si>
  <si>
    <t>Bednění stěn základových desek - odstranění</t>
  </si>
  <si>
    <t>15</t>
  </si>
  <si>
    <t>275316131RT3</t>
  </si>
  <si>
    <t>Základ.patky z betonu prostého vodostaveb. C 25/30</t>
  </si>
  <si>
    <t>XF4 odolnost proti střídavému působení mrazu</t>
  </si>
  <si>
    <t>28</t>
  </si>
  <si>
    <t>Zpevňování hornin a konstrukcí</t>
  </si>
  <si>
    <t>16</t>
  </si>
  <si>
    <t>289971211R00</t>
  </si>
  <si>
    <t>Zřízení vrstvy z geotextilie sklon do 1:2 š.do 3 m</t>
  </si>
  <si>
    <t>28_</t>
  </si>
  <si>
    <t>43</t>
  </si>
  <si>
    <t>Schodiště</t>
  </si>
  <si>
    <t>17</t>
  </si>
  <si>
    <t>434300001RA0</t>
  </si>
  <si>
    <t>Schodiště betonové prefabrikované kompletní</t>
  </si>
  <si>
    <t>43_</t>
  </si>
  <si>
    <t>01_4_</t>
  </si>
  <si>
    <t>45</t>
  </si>
  <si>
    <t>Podkladní a vedlejší konstrukce (kromě vozovek a železničního svršku)</t>
  </si>
  <si>
    <t>457621412R00</t>
  </si>
  <si>
    <t>Těsnění z asfaltobet. úprava spár zálivkou 2 kg/m</t>
  </si>
  <si>
    <t>m</t>
  </si>
  <si>
    <t>45_</t>
  </si>
  <si>
    <t>19</t>
  </si>
  <si>
    <t>451571221R00</t>
  </si>
  <si>
    <t>Podklad ze štěrkopísku tl. do 10 cm</t>
  </si>
  <si>
    <t>51</t>
  </si>
  <si>
    <t>Kolejové lože</t>
  </si>
  <si>
    <t>20</t>
  </si>
  <si>
    <t>511311013R00</t>
  </si>
  <si>
    <t>Práh nebo deska z betonu prostého C 25/30</t>
  </si>
  <si>
    <t>51_</t>
  </si>
  <si>
    <t>01_5_</t>
  </si>
  <si>
    <t>Metličkový povrch</t>
  </si>
  <si>
    <t>54</t>
  </si>
  <si>
    <t>Ostatní úpravy ocelových prvků</t>
  </si>
  <si>
    <t>21</t>
  </si>
  <si>
    <t>548930012R00</t>
  </si>
  <si>
    <t>Řezání Ocel. Potrubí, D do 100 mm</t>
  </si>
  <si>
    <t>kus</t>
  </si>
  <si>
    <t>54_</t>
  </si>
  <si>
    <t>56</t>
  </si>
  <si>
    <t>Podkladní vrstvy komunikací, letišť a ploch</t>
  </si>
  <si>
    <t>22</t>
  </si>
  <si>
    <t>564861111RT2</t>
  </si>
  <si>
    <t>Podklad ze štěrkodrti po zhutnění tloušťky 20 cm</t>
  </si>
  <si>
    <t>56_</t>
  </si>
  <si>
    <t>štěrkodrť  A frakce 0-32 mm</t>
  </si>
  <si>
    <t>23</t>
  </si>
  <si>
    <t>564851111RT2</t>
  </si>
  <si>
    <t>Podklad ze štěrkodrti po zhutnění tloušťky 15 cm</t>
  </si>
  <si>
    <t>štěrkodrť frakce 0-32 mm</t>
  </si>
  <si>
    <t>24</t>
  </si>
  <si>
    <t>564801111R00</t>
  </si>
  <si>
    <t>Podklad ze štěrkodrti po zhutnění tloušťky 2 cm</t>
  </si>
  <si>
    <t>Výsivka z lomu 0/4 mm, šedá barva</t>
  </si>
  <si>
    <t>25</t>
  </si>
  <si>
    <t>564831111RT2</t>
  </si>
  <si>
    <t>Podklad ze štěrkodrti po zhutnění tloušťky 10 cm</t>
  </si>
  <si>
    <t>57</t>
  </si>
  <si>
    <t>Kryty pozemních komunikací, letišť a ploch z kameniva nebo živičné</t>
  </si>
  <si>
    <t>26</t>
  </si>
  <si>
    <t>577142112RT2</t>
  </si>
  <si>
    <t>Beton asfaltový ACO 11+, nad 3 m, tl.5 cm</t>
  </si>
  <si>
    <t>57_</t>
  </si>
  <si>
    <t>ACO 11+ 50/70 tl. 50 mm</t>
  </si>
  <si>
    <t>573231123R00</t>
  </si>
  <si>
    <t>Postřik spojovací z KAE, množství zbytkového asfaltu 0,3 kg/m2</t>
  </si>
  <si>
    <t>59</t>
  </si>
  <si>
    <t>Kryty pozemních komunikací, letišť a ploch dlážděných (předlažby)</t>
  </si>
  <si>
    <t>591211211R00</t>
  </si>
  <si>
    <t>Kladení dlažby drobné kostky, lože z drti tl. 4 cm</t>
  </si>
  <si>
    <t>59_</t>
  </si>
  <si>
    <t>29</t>
  </si>
  <si>
    <t>596215040R00</t>
  </si>
  <si>
    <t>Kladení zámkové dlažby tl. 8 cm do drtě tl. 4 cm</t>
  </si>
  <si>
    <t>30</t>
  </si>
  <si>
    <t>591111111R00</t>
  </si>
  <si>
    <t>Kladení dlažby velké kostky,lože z kamen.tl. 4 cm</t>
  </si>
  <si>
    <t>63</t>
  </si>
  <si>
    <t>Podlahy a podlahové konstrukce</t>
  </si>
  <si>
    <t>31</t>
  </si>
  <si>
    <t>631310004RAA</t>
  </si>
  <si>
    <t>Mazanina podkladní z betonu C 8/10, tl. 150 mm</t>
  </si>
  <si>
    <t>63_</t>
  </si>
  <si>
    <t>01_6_</t>
  </si>
  <si>
    <t>štěrkopískový podklad tloušťka 100 mm</t>
  </si>
  <si>
    <t>762</t>
  </si>
  <si>
    <t>Konstrukce</t>
  </si>
  <si>
    <t>32</t>
  </si>
  <si>
    <t>762211811R00</t>
  </si>
  <si>
    <t>Demontáž schodiště kamenného š. do 1 m</t>
  </si>
  <si>
    <t>762_</t>
  </si>
  <si>
    <t>01_76_</t>
  </si>
  <si>
    <t>33</t>
  </si>
  <si>
    <t>762211220R00</t>
  </si>
  <si>
    <t>Montáž schodiště přímočarého kamenného s podstup. š. do 1 m</t>
  </si>
  <si>
    <t>91</t>
  </si>
  <si>
    <t>Doplňující konstrukce a práce na pozemních komunikacích a zpevněných plochách</t>
  </si>
  <si>
    <t>34</t>
  </si>
  <si>
    <t>916131111RT2</t>
  </si>
  <si>
    <t>Osaz.obruby z kostek velk., bez boční opěry,beton</t>
  </si>
  <si>
    <t>91_</t>
  </si>
  <si>
    <t>01_9_</t>
  </si>
  <si>
    <t>včetně dodávky kostek velkých 10/12 cm, lože C 20/25</t>
  </si>
  <si>
    <t>35</t>
  </si>
  <si>
    <t>916661111RT5</t>
  </si>
  <si>
    <t>Osazení park. obrubníků do lože z C 20/25 s opěrou</t>
  </si>
  <si>
    <t>včetně obrubníku 80x250x1000 mm</t>
  </si>
  <si>
    <t>36</t>
  </si>
  <si>
    <t>917862114RT5</t>
  </si>
  <si>
    <t>Osazení stojatého obrubníku betonového, s boční opěrou, do lože z betonu C 20/25</t>
  </si>
  <si>
    <t>včetně obrubníku 1000 x 100 x 250 mm</t>
  </si>
  <si>
    <t>37</t>
  </si>
  <si>
    <t>918101111R00</t>
  </si>
  <si>
    <t>Lože pod obrubníky nebo obruby dlažeb z C 20/25</t>
  </si>
  <si>
    <t>H22</t>
  </si>
  <si>
    <t>Komunikace pozemní a letiště</t>
  </si>
  <si>
    <t>38</t>
  </si>
  <si>
    <t>998225111R00</t>
  </si>
  <si>
    <t>Přesun hmot, pozemní komunikace, kryt živičný</t>
  </si>
  <si>
    <t>t</t>
  </si>
  <si>
    <t>H22_</t>
  </si>
  <si>
    <t>Odvoz přebytečného materiálu a návoz stavebních prvků</t>
  </si>
  <si>
    <t>39</t>
  </si>
  <si>
    <t>998225195R00</t>
  </si>
  <si>
    <t>Přesun hmot, komunik. živičné, přípl. dalších 5 km</t>
  </si>
  <si>
    <t>M21</t>
  </si>
  <si>
    <t>Elektromontáže</t>
  </si>
  <si>
    <t>40</t>
  </si>
  <si>
    <t>210800134RT1</t>
  </si>
  <si>
    <t>Kabel CYKY 750 V 4x16 mm2</t>
  </si>
  <si>
    <t>M21_</t>
  </si>
  <si>
    <t>včetně dodávky kabelu</t>
  </si>
  <si>
    <t>M22</t>
  </si>
  <si>
    <t>Montáže sdělovací a zabezpečovací techniky</t>
  </si>
  <si>
    <t>41</t>
  </si>
  <si>
    <t>220060663R00</t>
  </si>
  <si>
    <t>Uložení el. kabelu volně, ručně</t>
  </si>
  <si>
    <t>M22_</t>
  </si>
  <si>
    <t>M46</t>
  </si>
  <si>
    <t>Zemní práce při montážích</t>
  </si>
  <si>
    <t>42</t>
  </si>
  <si>
    <t>460030001RT2</t>
  </si>
  <si>
    <t>Sejmutí ornice vrstvy do 15 cm se zeminou tř.1</t>
  </si>
  <si>
    <t>M46_</t>
  </si>
  <si>
    <t xml:space="preserve">tlouštka vrstvy do 10 - 15 cm
Využito na spodní vrstvu terénních úprav</t>
  </si>
  <si>
    <t>460650011R00</t>
  </si>
  <si>
    <t>Podkladová vrstva ze štěrku tl. 20 cm</t>
  </si>
  <si>
    <t>fr. 63/125</t>
  </si>
  <si>
    <t>44</t>
  </si>
  <si>
    <t>fr. 16/32</t>
  </si>
  <si>
    <t>460420022RT3</t>
  </si>
  <si>
    <t>Zřízení kabelového lože v rýze š. do 65 cm z písku</t>
  </si>
  <si>
    <t>lože tloušťky 20 cm</t>
  </si>
  <si>
    <t>S</t>
  </si>
  <si>
    <t>Přesuny sutí</t>
  </si>
  <si>
    <t>46</t>
  </si>
  <si>
    <t>979999973R00</t>
  </si>
  <si>
    <t>Poplatek za uložení, zemina a kamení, (skup.170504)</t>
  </si>
  <si>
    <t>S_</t>
  </si>
  <si>
    <t>M</t>
  </si>
  <si>
    <t>47</t>
  </si>
  <si>
    <t>58380056</t>
  </si>
  <si>
    <t>Mozaika dlažební žulová štípaná 40 až 60 mm</t>
  </si>
  <si>
    <t>0</t>
  </si>
  <si>
    <t>Z99999_</t>
  </si>
  <si>
    <t>01_Z_</t>
  </si>
  <si>
    <t>48</t>
  </si>
  <si>
    <t>592451178</t>
  </si>
  <si>
    <t>Dlažba betonová BF skladebná 200 x 100 x 80 mm, přírodní</t>
  </si>
  <si>
    <t>49</t>
  </si>
  <si>
    <t>583844411</t>
  </si>
  <si>
    <t>Dlažba žulová tryskaná reliéfní 400 x 400 mm</t>
  </si>
  <si>
    <t>50</t>
  </si>
  <si>
    <t>R404459518</t>
  </si>
  <si>
    <t>Patka kotevní ocelová</t>
  </si>
  <si>
    <t>Přesné rozměry a zákres viz. příloha technické zprávy</t>
  </si>
  <si>
    <t>58380156</t>
  </si>
  <si>
    <t>Kostka dlažební žulová štípaná, velká 100 až 120 mm, třída I</t>
  </si>
  <si>
    <t>52</t>
  </si>
  <si>
    <t>69370509</t>
  </si>
  <si>
    <t>Geotextilie netkaná PP 150 g/m2</t>
  </si>
  <si>
    <t>53</t>
  </si>
  <si>
    <t>3457114644</t>
  </si>
  <si>
    <t>Trubka kabelová chránička PVC 63/3,0/6000 mm tř. 4</t>
  </si>
  <si>
    <t>673909992034</t>
  </si>
  <si>
    <t>Fólie výstražná šířka 34 cm červená el.</t>
  </si>
  <si>
    <t>55</t>
  </si>
  <si>
    <t>275316131R00</t>
  </si>
  <si>
    <t>Základ.patky z betonu prostého C 25/30</t>
  </si>
  <si>
    <t>02_2_</t>
  </si>
  <si>
    <t>02_</t>
  </si>
  <si>
    <t>02_9_</t>
  </si>
  <si>
    <t>58</t>
  </si>
  <si>
    <t>R592891020</t>
  </si>
  <si>
    <t>Lavička ocelová s dřevěnými lamelami, thermojasan s olejem</t>
  </si>
  <si>
    <t>02_Z_</t>
  </si>
  <si>
    <t xml:space="preserve">Popis specifikace mobiliáře viz. technická zpráva
vč. uchycení do betonových patek</t>
  </si>
  <si>
    <t>R592891021</t>
  </si>
  <si>
    <t>Dvojlehátko ocelové s dřevěnými lamelami, thermojasan s olejem</t>
  </si>
  <si>
    <t>60</t>
  </si>
  <si>
    <t>R592891150</t>
  </si>
  <si>
    <t>Stojan na kolo kartáčová ocel, uchycení na beton</t>
  </si>
  <si>
    <t>61</t>
  </si>
  <si>
    <t>R592891060</t>
  </si>
  <si>
    <t>Piknik set pro 6-8 lidí, ocel. konstrukce,  integrované lavice a stůl z desek z tropického dřeva</t>
  </si>
  <si>
    <t>62</t>
  </si>
  <si>
    <t>R59289280</t>
  </si>
  <si>
    <t>Koš odpadkový se stříškou, ocelový nosný rám, oboustranný dřevěný obklad, nádoba 1 x 55l</t>
  </si>
  <si>
    <t>Koš odpadkový se stříškou dvojitý, ocelový nosný rám, oboustranný dřevěný obklad, nádoby 2 x 45 l</t>
  </si>
  <si>
    <t>01VRN</t>
  </si>
  <si>
    <t>64</t>
  </si>
  <si>
    <t>012002VRN</t>
  </si>
  <si>
    <t>Geodetické práce</t>
  </si>
  <si>
    <t>Soubor</t>
  </si>
  <si>
    <t>99</t>
  </si>
  <si>
    <t>01VRN_</t>
  </si>
  <si>
    <t>VORN_Â _</t>
  </si>
  <si>
    <t>VORN_</t>
  </si>
  <si>
    <t>65</t>
  </si>
  <si>
    <t>013002VRN</t>
  </si>
  <si>
    <t>Projektové práce</t>
  </si>
  <si>
    <t>02VRN</t>
  </si>
  <si>
    <t>66</t>
  </si>
  <si>
    <t>023002VRN</t>
  </si>
  <si>
    <t>Vyklizení a úprava plochy</t>
  </si>
  <si>
    <t>02VRN_</t>
  </si>
  <si>
    <t>03VRN</t>
  </si>
  <si>
    <t>67</t>
  </si>
  <si>
    <t>030001VRN</t>
  </si>
  <si>
    <t>03VRN_</t>
  </si>
  <si>
    <t>68</t>
  </si>
  <si>
    <t>039002VRN</t>
  </si>
  <si>
    <t>Odstranění zařízení staveniště</t>
  </si>
  <si>
    <t>04VRN</t>
  </si>
  <si>
    <t>69</t>
  </si>
  <si>
    <t>042002VRN</t>
  </si>
  <si>
    <t>Plány a posudky</t>
  </si>
  <si>
    <t>04VRN_</t>
  </si>
  <si>
    <t>70</t>
  </si>
  <si>
    <t>043002VRN</t>
  </si>
  <si>
    <t>Zkoušky</t>
  </si>
  <si>
    <t>71</t>
  </si>
  <si>
    <t>049002VRN</t>
  </si>
  <si>
    <t>Ostatní náklady - Fotodokumentace</t>
  </si>
  <si>
    <t>Fotografický pasport stávajícího stavu a průběhu výstavby</t>
  </si>
  <si>
    <t>05VRN</t>
  </si>
  <si>
    <t>72</t>
  </si>
  <si>
    <t>051002VRN</t>
  </si>
  <si>
    <t>Pojištění</t>
  </si>
  <si>
    <t>05VRN_</t>
  </si>
  <si>
    <t>07VRN</t>
  </si>
  <si>
    <t>73</t>
  </si>
  <si>
    <t>072002VRN</t>
  </si>
  <si>
    <t>Silniční provoz - DIO, DIR a dopravní značení</t>
  </si>
  <si>
    <t>07VRN_</t>
  </si>
  <si>
    <t>74</t>
  </si>
  <si>
    <t>075002VRN</t>
  </si>
  <si>
    <t>Ochraná pásma objektů a inženýrských sítí</t>
  </si>
  <si>
    <t>09VRN</t>
  </si>
  <si>
    <t>75</t>
  </si>
  <si>
    <t>090001VRN</t>
  </si>
  <si>
    <t>Ostatní náklady - Arboristické práce</t>
  </si>
  <si>
    <t>09VRN_</t>
  </si>
  <si>
    <t>Arboristické práce na stávacjících stromech v zájmovém území</t>
  </si>
</sst>
</file>

<file path=xl/styles.xml><?xml version="1.0" encoding="utf-8"?>
<styleSheet xmlns="http://schemas.openxmlformats.org/spreadsheetml/2006/main">
  <numFmts count="0"/>
  <fonts count="11">
    <font>
      <sz val="11"/>
      <name val="Calibri"/>
      <charset val="1"/>
    </font>
    <font>
      <color rgb="FF000000"/>
      <sz val="18"/>
      <name val="Arial"/>
      <charset val="238"/>
    </font>
    <font>
      <color rgb="FF000000"/>
      <sz val="10"/>
      <name val="Arial"/>
      <charset val="238"/>
    </font>
    <font>
      <color rgb="FF000000"/>
      <sz val="10"/>
      <name val="Arial"/>
      <charset val="238"/>
      <b/>
    </font>
    <font>
      <color rgb="FF000000"/>
      <sz val="18"/>
      <name val="Arial"/>
      <charset val="238"/>
      <b/>
    </font>
    <font>
      <color rgb="FF000000"/>
      <sz val="20"/>
      <name val="Arial"/>
      <charset val="238"/>
      <b/>
    </font>
    <font>
      <color rgb="FF000000"/>
      <sz val="11"/>
      <name val="Arial"/>
      <charset val="238"/>
      <b/>
    </font>
    <font>
      <color rgb="FF000000"/>
      <sz val="12"/>
      <name val="Arial"/>
      <charset val="238"/>
      <b/>
    </font>
    <font>
      <color rgb="FF000000"/>
      <sz val="12"/>
      <name val="Arial"/>
      <charset val="238"/>
    </font>
    <font>
      <color rgb="FF000000"/>
      <sz val="8"/>
      <name val="Arial"/>
      <charset val="238"/>
      <i/>
    </font>
    <font>
      <color rgb="FF000000"/>
      <sz val="10"/>
      <name val="Arial"/>
      <charset val="238"/>
      <i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CCFFFF"/>
        <bgColor rgb="FFCCFFFF"/>
      </patternFill>
    </fill>
  </fills>
  <borders count="7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1">
    <xf borderId="0" fillId="0" fontId="0" numFmtId="0"/>
  </cellStyleXfs>
  <cellXfs count="171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4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0" fontId="2" numFmtId="1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0" fillId="0" fontId="4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2" fontId="5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3" fillId="0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5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5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8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8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9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1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2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3" fillId="0" fontId="8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4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2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3" fillId="0" fontId="8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5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3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4" fillId="0" fontId="8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6" fillId="0" fontId="8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5" fillId="2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7" fillId="2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3" fillId="2" fontId="7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2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8" fillId="2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8" fillId="2" fontId="7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2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2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1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5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7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0" fontId="9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1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5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7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3" fillId="0" fontId="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0" fontId="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9" fillId="0" fontId="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6" fillId="0" fontId="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60" fillId="0" fontId="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2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3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4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9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3" fontId="2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0" fillId="3" fontId="2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3" fontId="2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0" fillId="3" fontId="2" numFmtId="0" xfId="0">
      <alignment horizontal="left" vertical="center" textRotation="0" shrinkToFit="false" wrapText="true"/>
      <protection hidden="false" locked="false"/>
    </xf>
    <xf applyAlignment="true" applyBorder="true" applyFill="true" applyNumberFormat="true" applyFont="true" applyProtection="true" borderId="41" fillId="3" fontId="2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56" fillId="3" fontId="2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6" fillId="0" fontId="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69" fillId="3" fontId="3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70" fillId="0" fontId="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5" fillId="3" fontId="3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76" fillId="0" fontId="3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2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40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4" fontId="2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40" fillId="2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2" fillId="2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4" fontId="2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2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2" numFmtId="4" xfId="0">
      <alignment horizontal="righ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0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0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10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0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0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8" fillId="0" fontId="10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3" fontId="10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9" fillId="0" fontId="10" numFmtId="0" xfId="0">
      <alignment horizontal="left" vertical="center" textRotation="0" shrinkToFit="false" wrapText="false"/>
      <protection hidden="false" locked="true"/>
    </xf>
  </cellXfs>
  <dxfs count="0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3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4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drawing1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2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3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4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worksheets/_rels/sheet1.xml.rels>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37"/>
  <sheetViews>
    <sheetView workbookViewId="0" tabSelected="true" showZeros="true" showFormulas="false" showGridLines="true" showRowColHeaders="true">
      <selection sqref="A37:I37" activeCell="A37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7.140625" customWidth="true"/>
    <col max="4" min="4" style="0" width="10" customWidth="true"/>
    <col max="5" min="5" style="0" width="14" customWidth="true"/>
    <col max="6" min="6" style="0" width="27.140625" customWidth="true"/>
    <col max="7" min="7" style="0" width="9.140625" customWidth="true"/>
    <col max="8" min="8" style="0" width="12.85546875" customWidth="true"/>
    <col max="9" min="9" style="0" width="27.140625" customWidth="true"/>
  </cols>
  <sheetData>
    <row r="1" customHeight="true" ht="54.75">
      <c r="A1" s="1" t="s">
        <v>0</v>
      </c>
      <c r="B1" s="2"/>
      <c r="C1" s="2"/>
      <c r="D1" s="2"/>
      <c r="E1" s="2"/>
      <c r="F1" s="2"/>
      <c r="G1" s="2"/>
      <c r="H1" s="2"/>
      <c r="I1" s="2"/>
    </row>
    <row r="2">
      <c r="A2" s="3" t="s">
        <v>1</v>
      </c>
      <c r="B2" s="4"/>
      <c r="C2" s="5">
        <f>'Stavební rozpočet'!C2</f>
      </c>
      <c r="D2" s="6"/>
      <c r="E2" s="7" t="s">
        <v>2</v>
      </c>
      <c r="F2" s="7">
        <f>'Stavební rozpočet'!I2</f>
      </c>
      <c r="G2" s="4"/>
      <c r="H2" s="7" t="s">
        <v>3</v>
      </c>
      <c r="I2" s="8" t="s">
        <v>4</v>
      </c>
    </row>
    <row r="3" customHeight="true" ht="15">
      <c r="A3" s="9"/>
      <c r="B3" s="10"/>
      <c r="C3" s="11"/>
      <c r="D3" s="11"/>
      <c r="E3" s="10"/>
      <c r="F3" s="10"/>
      <c r="G3" s="10"/>
      <c r="H3" s="10"/>
      <c r="I3" s="12"/>
    </row>
    <row r="4">
      <c r="A4" s="13" t="s">
        <v>5</v>
      </c>
      <c r="B4" s="10"/>
      <c r="C4" s="14">
        <f>'Stavební rozpočet'!C4</f>
      </c>
      <c r="D4" s="10"/>
      <c r="E4" s="14" t="s">
        <v>6</v>
      </c>
      <c r="F4" s="14">
        <f>'Stavební rozpočet'!I4</f>
      </c>
      <c r="G4" s="10"/>
      <c r="H4" s="14" t="s">
        <v>3</v>
      </c>
      <c r="I4" s="12" t="s">
        <v>7</v>
      </c>
    </row>
    <row r="5" customHeight="true" ht="15">
      <c r="A5" s="9"/>
      <c r="B5" s="10"/>
      <c r="C5" s="10"/>
      <c r="D5" s="10"/>
      <c r="E5" s="10"/>
      <c r="F5" s="10"/>
      <c r="G5" s="10"/>
      <c r="H5" s="10"/>
      <c r="I5" s="12"/>
    </row>
    <row r="6">
      <c r="A6" s="13" t="s">
        <v>8</v>
      </c>
      <c r="B6" s="10"/>
      <c r="C6" s="14">
        <f>'Stavební rozpočet'!C6</f>
      </c>
      <c r="D6" s="10"/>
      <c r="E6" s="14" t="s">
        <v>9</v>
      </c>
      <c r="F6" s="14">
        <f>'Stavební rozpočet'!I6</f>
      </c>
      <c r="G6" s="10"/>
      <c r="H6" s="14" t="s">
        <v>3</v>
      </c>
      <c r="I6" s="12" t="s">
        <v>10</v>
      </c>
    </row>
    <row r="7" customHeight="true" ht="15">
      <c r="A7" s="9"/>
      <c r="B7" s="10"/>
      <c r="C7" s="10"/>
      <c r="D7" s="10"/>
      <c r="E7" s="10"/>
      <c r="F7" s="10"/>
      <c r="G7" s="10"/>
      <c r="H7" s="10"/>
      <c r="I7" s="12"/>
    </row>
    <row r="8">
      <c r="A8" s="13" t="s">
        <v>11</v>
      </c>
      <c r="B8" s="10"/>
      <c r="C8" s="14">
        <f>'Stavební rozpočet'!G4</f>
      </c>
      <c r="D8" s="10"/>
      <c r="E8" s="14" t="s">
        <v>12</v>
      </c>
      <c r="F8" s="14">
        <f>'Stavební rozpočet'!G6</f>
      </c>
      <c r="G8" s="10"/>
      <c r="H8" s="10" t="s">
        <v>13</v>
      </c>
      <c r="I8" s="15" t="n">
        <v>75</v>
      </c>
    </row>
    <row r="9">
      <c r="A9" s="9"/>
      <c r="B9" s="10"/>
      <c r="C9" s="10"/>
      <c r="D9" s="10"/>
      <c r="E9" s="10"/>
      <c r="F9" s="10"/>
      <c r="G9" s="10"/>
      <c r="H9" s="10"/>
      <c r="I9" s="12"/>
    </row>
    <row r="10">
      <c r="A10" s="13" t="s">
        <v>14</v>
      </c>
      <c r="B10" s="10"/>
      <c r="C10" s="14">
        <f>'Stavební rozpočet'!C8</f>
      </c>
      <c r="D10" s="10"/>
      <c r="E10" s="14" t="s">
        <v>15</v>
      </c>
      <c r="F10" s="14">
        <f>'Stavební rozpočet'!I8</f>
      </c>
      <c r="G10" s="10"/>
      <c r="H10" s="10" t="s">
        <v>16</v>
      </c>
      <c r="I10" s="16">
        <f>'Stavební rozpočet'!G8</f>
      </c>
    </row>
    <row r="11">
      <c r="A11" s="17"/>
      <c r="B11" s="18"/>
      <c r="C11" s="18"/>
      <c r="D11" s="18"/>
      <c r="E11" s="18"/>
      <c r="F11" s="18"/>
      <c r="G11" s="18"/>
      <c r="H11" s="18"/>
      <c r="I11" s="19"/>
    </row>
    <row r="12">
      <c r="A12" s="20" t="s">
        <v>17</v>
      </c>
      <c r="B12" s="20"/>
      <c r="C12" s="20"/>
      <c r="D12" s="20"/>
      <c r="E12" s="20"/>
      <c r="F12" s="20"/>
      <c r="G12" s="20"/>
      <c r="H12" s="20"/>
      <c r="I12" s="20"/>
    </row>
    <row r="13" customHeight="true" ht="26.25">
      <c r="A13" s="21" t="s">
        <v>18</v>
      </c>
      <c r="B13" s="22" t="s">
        <v>19</v>
      </c>
      <c r="C13" s="23"/>
      <c r="D13" s="24" t="s">
        <v>20</v>
      </c>
      <c r="E13" s="22" t="s">
        <v>21</v>
      </c>
      <c r="F13" s="23"/>
      <c r="G13" s="24" t="s">
        <v>22</v>
      </c>
      <c r="H13" s="22" t="s">
        <v>23</v>
      </c>
      <c r="I13" s="23"/>
    </row>
    <row r="14">
      <c r="A14" s="25" t="s">
        <v>24</v>
      </c>
      <c r="B14" s="26" t="s">
        <v>25</v>
      </c>
      <c r="C14" s="27">
        <f>SUM('Stavební rozpočet'!AB12:AB306)</f>
      </c>
      <c r="D14" s="28" t="s">
        <v>26</v>
      </c>
      <c r="E14" s="29"/>
      <c r="F14" s="27">
        <f>VORN!I15</f>
      </c>
      <c r="G14" s="28" t="s">
        <v>27</v>
      </c>
      <c r="H14" s="29"/>
      <c r="I14" s="30">
        <f>VORN!I21</f>
      </c>
    </row>
    <row r="15">
      <c r="A15" s="31" t="s">
        <v>10</v>
      </c>
      <c r="B15" s="26" t="s">
        <v>28</v>
      </c>
      <c r="C15" s="27">
        <f>SUM('Stavební rozpočet'!AC12:AC306)</f>
      </c>
      <c r="D15" s="28" t="s">
        <v>29</v>
      </c>
      <c r="E15" s="29"/>
      <c r="F15" s="27">
        <f>VORN!I16</f>
      </c>
      <c r="G15" s="28" t="s">
        <v>30</v>
      </c>
      <c r="H15" s="29"/>
      <c r="I15" s="30">
        <f>VORN!I22</f>
      </c>
    </row>
    <row r="16">
      <c r="A16" s="25" t="s">
        <v>31</v>
      </c>
      <c r="B16" s="26" t="s">
        <v>25</v>
      </c>
      <c r="C16" s="27">
        <f>SUM('Stavební rozpočet'!AD12:AD306)</f>
      </c>
      <c r="D16" s="28" t="s">
        <v>32</v>
      </c>
      <c r="E16" s="29"/>
      <c r="F16" s="27">
        <f>VORN!I17</f>
      </c>
      <c r="G16" s="28" t="s">
        <v>33</v>
      </c>
      <c r="H16" s="29"/>
      <c r="I16" s="30">
        <f>VORN!I23</f>
      </c>
    </row>
    <row r="17">
      <c r="A17" s="31" t="s">
        <v>10</v>
      </c>
      <c r="B17" s="26" t="s">
        <v>28</v>
      </c>
      <c r="C17" s="27">
        <f>SUM('Stavební rozpočet'!AE12:AE306)</f>
      </c>
      <c r="D17" s="28" t="s">
        <v>10</v>
      </c>
      <c r="E17" s="29"/>
      <c r="F17" s="30" t="s">
        <v>10</v>
      </c>
      <c r="G17" s="28" t="s">
        <v>34</v>
      </c>
      <c r="H17" s="29"/>
      <c r="I17" s="30">
        <f>VORN!I24</f>
      </c>
    </row>
    <row r="18">
      <c r="A18" s="25" t="s">
        <v>35</v>
      </c>
      <c r="B18" s="26" t="s">
        <v>25</v>
      </c>
      <c r="C18" s="27">
        <f>SUM('Stavební rozpočet'!AF12:AF306)</f>
      </c>
      <c r="D18" s="28" t="s">
        <v>10</v>
      </c>
      <c r="E18" s="29"/>
      <c r="F18" s="30" t="s">
        <v>10</v>
      </c>
      <c r="G18" s="28" t="s">
        <v>36</v>
      </c>
      <c r="H18" s="29"/>
      <c r="I18" s="30">
        <f>VORN!I25</f>
      </c>
    </row>
    <row r="19">
      <c r="A19" s="31" t="s">
        <v>10</v>
      </c>
      <c r="B19" s="26" t="s">
        <v>28</v>
      </c>
      <c r="C19" s="27">
        <f>SUM('Stavební rozpočet'!AG12:AG306)</f>
      </c>
      <c r="D19" s="28" t="s">
        <v>10</v>
      </c>
      <c r="E19" s="29"/>
      <c r="F19" s="30" t="s">
        <v>10</v>
      </c>
      <c r="G19" s="28" t="s">
        <v>37</v>
      </c>
      <c r="H19" s="29"/>
      <c r="I19" s="30">
        <f>VORN!I26</f>
      </c>
    </row>
    <row r="20">
      <c r="A20" s="32" t="s">
        <v>38</v>
      </c>
      <c r="B20" s="33"/>
      <c r="C20" s="27">
        <f>SUM('Stavební rozpočet'!AH12:AH306)</f>
      </c>
      <c r="D20" s="28" t="s">
        <v>10</v>
      </c>
      <c r="E20" s="29"/>
      <c r="F20" s="30" t="s">
        <v>10</v>
      </c>
      <c r="G20" s="28" t="s">
        <v>10</v>
      </c>
      <c r="H20" s="29"/>
      <c r="I20" s="30" t="s">
        <v>10</v>
      </c>
    </row>
    <row r="21">
      <c r="A21" s="34" t="s">
        <v>39</v>
      </c>
      <c r="B21" s="35"/>
      <c r="C21" s="36">
        <f>SUM('Stavební rozpočet'!Z12:Z306)</f>
      </c>
      <c r="D21" s="37" t="s">
        <v>10</v>
      </c>
      <c r="E21" s="38"/>
      <c r="F21" s="39" t="s">
        <v>10</v>
      </c>
      <c r="G21" s="37" t="s">
        <v>10</v>
      </c>
      <c r="H21" s="38"/>
      <c r="I21" s="39" t="s">
        <v>10</v>
      </c>
    </row>
    <row r="22" customHeight="true" ht="16.5">
      <c r="A22" s="40" t="s">
        <v>40</v>
      </c>
      <c r="B22" s="41"/>
      <c r="C22" s="42">
        <f>ROUND(SUM(C14:C21),2)</f>
      </c>
      <c r="D22" s="43" t="s">
        <v>41</v>
      </c>
      <c r="E22" s="41"/>
      <c r="F22" s="42">
        <f>SUM(F14:F21)</f>
      </c>
      <c r="G22" s="43" t="s">
        <v>42</v>
      </c>
      <c r="H22" s="41"/>
      <c r="I22" s="42">
        <f>SUM(I14:I21)</f>
      </c>
    </row>
    <row r="23">
      <c r="D23" s="32" t="s">
        <v>43</v>
      </c>
      <c r="E23" s="33"/>
      <c r="F23" s="44" t="n">
        <v>0</v>
      </c>
      <c r="G23" s="45" t="s">
        <v>44</v>
      </c>
      <c r="H23" s="33"/>
      <c r="I23" s="27" t="n">
        <v>0</v>
      </c>
    </row>
    <row r="24">
      <c r="G24" s="32" t="s">
        <v>45</v>
      </c>
      <c r="H24" s="33"/>
      <c r="I24" s="36">
        <f>vorn_sum</f>
      </c>
    </row>
    <row r="25">
      <c r="G25" s="32" t="s">
        <v>46</v>
      </c>
      <c r="H25" s="33"/>
      <c r="I25" s="42" t="n">
        <v>0</v>
      </c>
    </row>
    <row r="27">
      <c r="A27" s="46" t="s">
        <v>47</v>
      </c>
      <c r="B27" s="47"/>
      <c r="C27" s="48">
        <f>ROUND(SUM('Stavební rozpočet'!AJ12:AJ306),2)</f>
      </c>
    </row>
    <row r="28">
      <c r="A28" s="49" t="s">
        <v>48</v>
      </c>
      <c r="B28" s="50"/>
      <c r="C28" s="51">
        <f>ROUND(SUM('Stavební rozpočet'!AK12:AK306),2)</f>
      </c>
      <c r="D28" s="52" t="s">
        <v>49</v>
      </c>
      <c r="E28" s="47"/>
      <c r="F28" s="48">
        <f>ROUND(C28*(12/100),2)</f>
      </c>
      <c r="G28" s="52" t="s">
        <v>50</v>
      </c>
      <c r="H28" s="47"/>
      <c r="I28" s="48">
        <f>ROUND(SUM(C27:C29),2)</f>
      </c>
    </row>
    <row r="29">
      <c r="A29" s="49" t="s">
        <v>51</v>
      </c>
      <c r="B29" s="50"/>
      <c r="C29" s="51">
        <f>ROUND(SUM('Stavební rozpočet'!AL12:AL306),2)</f>
      </c>
      <c r="D29" s="53" t="s">
        <v>52</v>
      </c>
      <c r="E29" s="50"/>
      <c r="F29" s="51">
        <f>ROUND(C29*(21/100),2)</f>
      </c>
      <c r="G29" s="53" t="s">
        <v>53</v>
      </c>
      <c r="H29" s="50"/>
      <c r="I29" s="51">
        <f>ROUND(SUM(F28:F29)+I28,2)</f>
      </c>
    </row>
    <row r="31">
      <c r="A31" s="54" t="s">
        <v>54</v>
      </c>
      <c r="B31" s="55"/>
      <c r="C31" s="56"/>
      <c r="D31" s="57" t="s">
        <v>55</v>
      </c>
      <c r="E31" s="55"/>
      <c r="F31" s="56"/>
      <c r="G31" s="57" t="s">
        <v>56</v>
      </c>
      <c r="H31" s="55"/>
      <c r="I31" s="56"/>
    </row>
    <row r="32">
      <c r="A32" s="58" t="s">
        <v>10</v>
      </c>
      <c r="B32" s="59"/>
      <c r="C32" s="60"/>
      <c r="D32" s="61" t="s">
        <v>10</v>
      </c>
      <c r="E32" s="59"/>
      <c r="F32" s="60"/>
      <c r="G32" s="61" t="s">
        <v>10</v>
      </c>
      <c r="H32" s="59"/>
      <c r="I32" s="60"/>
    </row>
    <row r="33">
      <c r="A33" s="58" t="s">
        <v>10</v>
      </c>
      <c r="B33" s="59"/>
      <c r="C33" s="60"/>
      <c r="D33" s="61" t="s">
        <v>10</v>
      </c>
      <c r="E33" s="59"/>
      <c r="F33" s="60"/>
      <c r="G33" s="61" t="s">
        <v>10</v>
      </c>
      <c r="H33" s="59"/>
      <c r="I33" s="60"/>
    </row>
    <row r="34">
      <c r="A34" s="58" t="s">
        <v>10</v>
      </c>
      <c r="B34" s="59"/>
      <c r="C34" s="60"/>
      <c r="D34" s="61" t="s">
        <v>10</v>
      </c>
      <c r="E34" s="59"/>
      <c r="F34" s="60"/>
      <c r="G34" s="61" t="s">
        <v>10</v>
      </c>
      <c r="H34" s="59"/>
      <c r="I34" s="60"/>
    </row>
    <row r="35">
      <c r="A35" s="62" t="s">
        <v>57</v>
      </c>
      <c r="B35" s="63"/>
      <c r="C35" s="64"/>
      <c r="D35" s="65" t="s">
        <v>57</v>
      </c>
      <c r="E35" s="63"/>
      <c r="F35" s="64"/>
      <c r="G35" s="65" t="s">
        <v>57</v>
      </c>
      <c r="H35" s="63"/>
      <c r="I35" s="64"/>
    </row>
    <row r="36">
      <c r="A36" s="66" t="s">
        <v>58</v>
      </c>
    </row>
    <row r="37" customHeight="true" ht="12.75">
      <c r="A37" s="14" t="s">
        <v>10</v>
      </c>
      <c r="B37" s="10"/>
      <c r="C37" s="10"/>
      <c r="D37" s="10"/>
      <c r="E37" s="10"/>
      <c r="F37" s="10"/>
      <c r="G37" s="10"/>
      <c r="H37" s="10"/>
      <c r="I37" s="10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ED0E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H2:H3"/>
    <mergeCell ref="H4:H5"/>
    <mergeCell ref="H6:H7"/>
    <mergeCell ref="H8:H9"/>
    <mergeCell ref="H10:H11"/>
    <mergeCell ref="I2:I3"/>
    <mergeCell ref="I4:I5"/>
    <mergeCell ref="I6:I7"/>
    <mergeCell ref="I8:I9"/>
    <mergeCell ref="I10:I11"/>
    <mergeCell ref="A12:I12"/>
    <mergeCell ref="B13:C13"/>
    <mergeCell ref="E13:F13"/>
    <mergeCell ref="H13:I13"/>
    <mergeCell ref="A20:B20"/>
    <mergeCell ref="A21:B21"/>
    <mergeCell ref="A22:B2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A27:B27"/>
    <mergeCell ref="A28:B28"/>
    <mergeCell ref="A29:B29"/>
    <mergeCell ref="D28:E28"/>
    <mergeCell ref="D29:E29"/>
    <mergeCell ref="G28:H28"/>
    <mergeCell ref="G29:H29"/>
    <mergeCell ref="A31:C31"/>
    <mergeCell ref="A32:C32"/>
    <mergeCell ref="A33:C33"/>
    <mergeCell ref="A34:C34"/>
    <mergeCell ref="A35:C35"/>
    <mergeCell ref="D31:F31"/>
    <mergeCell ref="D32:F32"/>
    <mergeCell ref="D33:F33"/>
    <mergeCell ref="D34:F34"/>
    <mergeCell ref="D35:F35"/>
    <mergeCell ref="G31:I31"/>
    <mergeCell ref="G32:I32"/>
    <mergeCell ref="G33:I33"/>
    <mergeCell ref="G34:I34"/>
    <mergeCell ref="G35:I35"/>
    <mergeCell ref="A37:I37"/>
  </mergeCells>
  <pageMargins left="0.393999993801117" top="0.591000020503998" right="0.393999993801117" bottom="0.591000020503998" header="0" footer="0"/>
  <pageSetup orientation="landscape" fitToHeight="1" fitToWidth="1" cellComments="none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45"/>
  <sheetViews>
    <sheetView workbookViewId="0" showZeros="true" showFormulas="false" showGridLines="true" showRowColHeaders="true">
      <selection sqref="A45:E45" activeCell="A45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2.85546875" customWidth="true"/>
    <col max="4" min="4" style="0" width="10" customWidth="true"/>
    <col max="5" min="5" style="0" width="14" customWidth="true"/>
    <col max="6" min="6" style="0" width="22.85546875" customWidth="true"/>
    <col max="7" min="7" style="0" width="9.140625" customWidth="true"/>
    <col max="8" min="8" style="0" width="17.140625" customWidth="true"/>
    <col max="9" min="9" style="0" width="22.85546875" customWidth="true"/>
  </cols>
  <sheetData>
    <row r="1" customHeight="true" ht="54.75">
      <c r="A1" s="1" t="s">
        <v>59</v>
      </c>
      <c r="B1" s="2"/>
      <c r="C1" s="2"/>
      <c r="D1" s="2"/>
      <c r="E1" s="2"/>
      <c r="F1" s="2"/>
      <c r="G1" s="2"/>
      <c r="H1" s="2"/>
      <c r="I1" s="2"/>
    </row>
    <row r="2">
      <c r="A2" s="3" t="s">
        <v>1</v>
      </c>
      <c r="B2" s="4"/>
      <c r="C2" s="5">
        <f>'Stavební rozpočet'!C2</f>
      </c>
      <c r="D2" s="6"/>
      <c r="E2" s="7" t="s">
        <v>2</v>
      </c>
      <c r="F2" s="7">
        <f>'Stavební rozpočet'!I2</f>
      </c>
      <c r="G2" s="4"/>
      <c r="H2" s="7" t="s">
        <v>3</v>
      </c>
      <c r="I2" s="8" t="s">
        <v>4</v>
      </c>
    </row>
    <row r="3" customHeight="true" ht="15">
      <c r="A3" s="9"/>
      <c r="B3" s="10"/>
      <c r="C3" s="11"/>
      <c r="D3" s="11"/>
      <c r="E3" s="10"/>
      <c r="F3" s="10"/>
      <c r="G3" s="10"/>
      <c r="H3" s="10"/>
      <c r="I3" s="12"/>
    </row>
    <row r="4">
      <c r="A4" s="13" t="s">
        <v>5</v>
      </c>
      <c r="B4" s="10"/>
      <c r="C4" s="14">
        <f>'Stavební rozpočet'!C4</f>
      </c>
      <c r="D4" s="10"/>
      <c r="E4" s="14" t="s">
        <v>6</v>
      </c>
      <c r="F4" s="14">
        <f>'Stavební rozpočet'!I4</f>
      </c>
      <c r="G4" s="10"/>
      <c r="H4" s="14" t="s">
        <v>3</v>
      </c>
      <c r="I4" s="12" t="s">
        <v>7</v>
      </c>
    </row>
    <row r="5" customHeight="true" ht="15">
      <c r="A5" s="9"/>
      <c r="B5" s="10"/>
      <c r="C5" s="10"/>
      <c r="D5" s="10"/>
      <c r="E5" s="10"/>
      <c r="F5" s="10"/>
      <c r="G5" s="10"/>
      <c r="H5" s="10"/>
      <c r="I5" s="12"/>
    </row>
    <row r="6">
      <c r="A6" s="13" t="s">
        <v>8</v>
      </c>
      <c r="B6" s="10"/>
      <c r="C6" s="14">
        <f>'Stavební rozpočet'!C6</f>
      </c>
      <c r="D6" s="10"/>
      <c r="E6" s="14" t="s">
        <v>9</v>
      </c>
      <c r="F6" s="14">
        <f>'Stavební rozpočet'!I6</f>
      </c>
      <c r="G6" s="10"/>
      <c r="H6" s="14" t="s">
        <v>3</v>
      </c>
      <c r="I6" s="12" t="s">
        <v>10</v>
      </c>
    </row>
    <row r="7" customHeight="true" ht="15">
      <c r="A7" s="9"/>
      <c r="B7" s="10"/>
      <c r="C7" s="10"/>
      <c r="D7" s="10"/>
      <c r="E7" s="10"/>
      <c r="F7" s="10"/>
      <c r="G7" s="10"/>
      <c r="H7" s="10"/>
      <c r="I7" s="12"/>
    </row>
    <row r="8">
      <c r="A8" s="13" t="s">
        <v>11</v>
      </c>
      <c r="B8" s="10"/>
      <c r="C8" s="14">
        <f>'Stavební rozpočet'!G4</f>
      </c>
      <c r="D8" s="10"/>
      <c r="E8" s="14" t="s">
        <v>12</v>
      </c>
      <c r="F8" s="14">
        <f>'Stavební rozpočet'!G6</f>
      </c>
      <c r="G8" s="10"/>
      <c r="H8" s="10" t="s">
        <v>13</v>
      </c>
      <c r="I8" s="15" t="n">
        <v>75</v>
      </c>
    </row>
    <row r="9">
      <c r="A9" s="9"/>
      <c r="B9" s="10"/>
      <c r="C9" s="10"/>
      <c r="D9" s="10"/>
      <c r="E9" s="10"/>
      <c r="F9" s="10"/>
      <c r="G9" s="10"/>
      <c r="H9" s="10"/>
      <c r="I9" s="12"/>
    </row>
    <row r="10">
      <c r="A10" s="13" t="s">
        <v>14</v>
      </c>
      <c r="B10" s="10"/>
      <c r="C10" s="14">
        <f>'Stavební rozpočet'!C8</f>
      </c>
      <c r="D10" s="10"/>
      <c r="E10" s="14" t="s">
        <v>15</v>
      </c>
      <c r="F10" s="14">
        <f>'Stavební rozpočet'!I8</f>
      </c>
      <c r="G10" s="10"/>
      <c r="H10" s="10" t="s">
        <v>16</v>
      </c>
      <c r="I10" s="16">
        <f>'Stavební rozpočet'!G8</f>
      </c>
    </row>
    <row r="11">
      <c r="A11" s="17"/>
      <c r="B11" s="18"/>
      <c r="C11" s="18"/>
      <c r="D11" s="18"/>
      <c r="E11" s="18"/>
      <c r="F11" s="18"/>
      <c r="G11" s="18"/>
      <c r="H11" s="18"/>
      <c r="I11" s="19"/>
    </row>
    <row r="13">
      <c r="A13" s="67" t="s">
        <v>60</v>
      </c>
      <c r="B13" s="67"/>
      <c r="C13" s="67"/>
      <c r="D13" s="67"/>
      <c r="E13" s="67"/>
    </row>
    <row r="14">
      <c r="A14" s="68" t="s">
        <v>61</v>
      </c>
      <c r="B14" s="69"/>
      <c r="C14" s="69"/>
      <c r="D14" s="69"/>
      <c r="E14" s="70"/>
      <c r="F14" s="71" t="s">
        <v>62</v>
      </c>
      <c r="G14" s="71" t="s">
        <v>63</v>
      </c>
      <c r="H14" s="71" t="s">
        <v>64</v>
      </c>
      <c r="I14" s="71" t="s">
        <v>62</v>
      </c>
    </row>
    <row r="15">
      <c r="A15" s="72" t="s">
        <v>26</v>
      </c>
      <c r="B15" s="73"/>
      <c r="C15" s="73"/>
      <c r="D15" s="73"/>
      <c r="E15" s="74"/>
      <c r="F15" s="75" t="n">
        <v>0</v>
      </c>
      <c r="G15" s="76" t="s">
        <v>10</v>
      </c>
      <c r="H15" s="76" t="s">
        <v>10</v>
      </c>
      <c r="I15" s="75">
        <f>F15</f>
      </c>
    </row>
    <row r="16">
      <c r="A16" s="72" t="s">
        <v>29</v>
      </c>
      <c r="B16" s="73"/>
      <c r="C16" s="73"/>
      <c r="D16" s="73"/>
      <c r="E16" s="74"/>
      <c r="F16" s="75" t="n">
        <v>0</v>
      </c>
      <c r="G16" s="76" t="s">
        <v>10</v>
      </c>
      <c r="H16" s="76" t="s">
        <v>10</v>
      </c>
      <c r="I16" s="75">
        <f>F16</f>
      </c>
    </row>
    <row r="17">
      <c r="A17" s="77" t="s">
        <v>32</v>
      </c>
      <c r="B17" s="78"/>
      <c r="C17" s="78"/>
      <c r="D17" s="78"/>
      <c r="E17" s="79"/>
      <c r="F17" s="80" t="n">
        <v>0</v>
      </c>
      <c r="G17" s="81" t="s">
        <v>10</v>
      </c>
      <c r="H17" s="81" t="s">
        <v>10</v>
      </c>
      <c r="I17" s="80">
        <f>F17</f>
      </c>
    </row>
    <row r="18">
      <c r="A18" s="82" t="s">
        <v>65</v>
      </c>
      <c r="B18" s="83"/>
      <c r="C18" s="83"/>
      <c r="D18" s="83"/>
      <c r="E18" s="84"/>
      <c r="F18" s="85" t="s">
        <v>10</v>
      </c>
      <c r="G18" s="86" t="s">
        <v>10</v>
      </c>
      <c r="H18" s="86" t="s">
        <v>10</v>
      </c>
      <c r="I18" s="87">
        <f>SUM(I15:I17)</f>
      </c>
    </row>
    <row r="20">
      <c r="A20" s="68" t="s">
        <v>23</v>
      </c>
      <c r="B20" s="69"/>
      <c r="C20" s="69"/>
      <c r="D20" s="69"/>
      <c r="E20" s="70"/>
      <c r="F20" s="71" t="s">
        <v>62</v>
      </c>
      <c r="G20" s="71" t="s">
        <v>63</v>
      </c>
      <c r="H20" s="71" t="s">
        <v>64</v>
      </c>
      <c r="I20" s="71" t="s">
        <v>62</v>
      </c>
    </row>
    <row r="21">
      <c r="A21" s="72" t="s">
        <v>27</v>
      </c>
      <c r="B21" s="73"/>
      <c r="C21" s="73"/>
      <c r="D21" s="73"/>
      <c r="E21" s="74"/>
      <c r="F21" s="75" t="n">
        <v>0</v>
      </c>
      <c r="G21" s="76" t="s">
        <v>10</v>
      </c>
      <c r="H21" s="76" t="s">
        <v>10</v>
      </c>
      <c r="I21" s="75">
        <f>F21</f>
      </c>
    </row>
    <row r="22">
      <c r="A22" s="72" t="s">
        <v>30</v>
      </c>
      <c r="B22" s="73"/>
      <c r="C22" s="73"/>
      <c r="D22" s="73"/>
      <c r="E22" s="74"/>
      <c r="F22" s="75" t="n">
        <v>0</v>
      </c>
      <c r="G22" s="76" t="s">
        <v>10</v>
      </c>
      <c r="H22" s="76" t="s">
        <v>10</v>
      </c>
      <c r="I22" s="75">
        <f>F22</f>
      </c>
    </row>
    <row r="23">
      <c r="A23" s="72" t="s">
        <v>33</v>
      </c>
      <c r="B23" s="73"/>
      <c r="C23" s="73"/>
      <c r="D23" s="73"/>
      <c r="E23" s="74"/>
      <c r="F23" s="75" t="n">
        <v>0</v>
      </c>
      <c r="G23" s="76" t="s">
        <v>10</v>
      </c>
      <c r="H23" s="76" t="s">
        <v>10</v>
      </c>
      <c r="I23" s="75">
        <f>F23</f>
      </c>
    </row>
    <row r="24">
      <c r="A24" s="72" t="s">
        <v>34</v>
      </c>
      <c r="B24" s="73"/>
      <c r="C24" s="73"/>
      <c r="D24" s="73"/>
      <c r="E24" s="74"/>
      <c r="F24" s="75" t="n">
        <v>0</v>
      </c>
      <c r="G24" s="76" t="s">
        <v>10</v>
      </c>
      <c r="H24" s="76" t="s">
        <v>10</v>
      </c>
      <c r="I24" s="75">
        <f>F24</f>
      </c>
    </row>
    <row r="25">
      <c r="A25" s="72" t="s">
        <v>36</v>
      </c>
      <c r="B25" s="73"/>
      <c r="C25" s="73"/>
      <c r="D25" s="73"/>
      <c r="E25" s="74"/>
      <c r="F25" s="75" t="n">
        <v>0</v>
      </c>
      <c r="G25" s="76" t="s">
        <v>10</v>
      </c>
      <c r="H25" s="76" t="s">
        <v>10</v>
      </c>
      <c r="I25" s="75">
        <f>F25</f>
      </c>
    </row>
    <row r="26">
      <c r="A26" s="77" t="s">
        <v>37</v>
      </c>
      <c r="B26" s="78"/>
      <c r="C26" s="78"/>
      <c r="D26" s="78"/>
      <c r="E26" s="79"/>
      <c r="F26" s="80" t="n">
        <v>0</v>
      </c>
      <c r="G26" s="81" t="s">
        <v>10</v>
      </c>
      <c r="H26" s="81" t="s">
        <v>10</v>
      </c>
      <c r="I26" s="80">
        <f>F26</f>
      </c>
    </row>
    <row r="27">
      <c r="A27" s="82" t="s">
        <v>66</v>
      </c>
      <c r="B27" s="83"/>
      <c r="C27" s="83"/>
      <c r="D27" s="83"/>
      <c r="E27" s="84"/>
      <c r="F27" s="85" t="s">
        <v>10</v>
      </c>
      <c r="G27" s="86" t="s">
        <v>10</v>
      </c>
      <c r="H27" s="86" t="s">
        <v>10</v>
      </c>
      <c r="I27" s="87">
        <f>SUM(I21:I26)</f>
      </c>
    </row>
    <row r="29">
      <c r="A29" s="88" t="s">
        <v>67</v>
      </c>
      <c r="B29" s="89"/>
      <c r="C29" s="89"/>
      <c r="D29" s="89"/>
      <c r="E29" s="90"/>
      <c r="F29" s="91">
        <f>I18+I27</f>
      </c>
      <c r="G29" s="92"/>
      <c r="H29" s="92"/>
      <c r="I29" s="93"/>
    </row>
    <row r="33">
      <c r="A33" s="67" t="s">
        <v>68</v>
      </c>
      <c r="B33" s="67"/>
      <c r="C33" s="67"/>
      <c r="D33" s="67"/>
      <c r="E33" s="67"/>
    </row>
    <row r="34">
      <c r="A34" s="68" t="s">
        <v>69</v>
      </c>
      <c r="B34" s="69"/>
      <c r="C34" s="69"/>
      <c r="D34" s="69"/>
      <c r="E34" s="70"/>
      <c r="F34" s="71" t="s">
        <v>62</v>
      </c>
      <c r="G34" s="71" t="s">
        <v>63</v>
      </c>
      <c r="H34" s="71" t="s">
        <v>64</v>
      </c>
      <c r="I34" s="71" t="s">
        <v>62</v>
      </c>
    </row>
    <row r="35">
      <c r="A35" s="72" t="s">
        <v>70</v>
      </c>
      <c r="B35" s="73"/>
      <c r="C35" s="73"/>
      <c r="D35" s="73"/>
      <c r="E35" s="74"/>
      <c r="F35" s="75">
        <f>SUM('Stavební rozpočet'!BM12:BM306)</f>
      </c>
      <c r="G35" s="76" t="s">
        <v>10</v>
      </c>
      <c r="H35" s="76" t="s">
        <v>10</v>
      </c>
      <c r="I35" s="75">
        <f>F35</f>
      </c>
    </row>
    <row r="36">
      <c r="A36" s="72" t="s">
        <v>71</v>
      </c>
      <c r="B36" s="73"/>
      <c r="C36" s="73"/>
      <c r="D36" s="73"/>
      <c r="E36" s="74"/>
      <c r="F36" s="75">
        <f>SUM('Stavební rozpočet'!BN12:BN306)</f>
      </c>
      <c r="G36" s="76" t="s">
        <v>10</v>
      </c>
      <c r="H36" s="76" t="s">
        <v>10</v>
      </c>
      <c r="I36" s="75">
        <f>F36</f>
      </c>
    </row>
    <row r="37">
      <c r="A37" s="72" t="s">
        <v>27</v>
      </c>
      <c r="B37" s="73"/>
      <c r="C37" s="73"/>
      <c r="D37" s="73"/>
      <c r="E37" s="74"/>
      <c r="F37" s="75">
        <f>SUM('Stavební rozpočet'!BO12:BO306)</f>
      </c>
      <c r="G37" s="76" t="s">
        <v>10</v>
      </c>
      <c r="H37" s="76" t="s">
        <v>10</v>
      </c>
      <c r="I37" s="75">
        <f>F37</f>
      </c>
    </row>
    <row r="38">
      <c r="A38" s="72" t="s">
        <v>72</v>
      </c>
      <c r="B38" s="73"/>
      <c r="C38" s="73"/>
      <c r="D38" s="73"/>
      <c r="E38" s="74"/>
      <c r="F38" s="75">
        <f>SUM('Stavební rozpočet'!BP12:BP306)</f>
      </c>
      <c r="G38" s="76" t="s">
        <v>10</v>
      </c>
      <c r="H38" s="76" t="s">
        <v>10</v>
      </c>
      <c r="I38" s="75">
        <f>F38</f>
      </c>
    </row>
    <row r="39">
      <c r="A39" s="72" t="s">
        <v>73</v>
      </c>
      <c r="B39" s="73"/>
      <c r="C39" s="73"/>
      <c r="D39" s="73"/>
      <c r="E39" s="74"/>
      <c r="F39" s="75">
        <f>SUM('Stavební rozpočet'!BQ12:BQ306)</f>
      </c>
      <c r="G39" s="76" t="s">
        <v>10</v>
      </c>
      <c r="H39" s="76" t="s">
        <v>10</v>
      </c>
      <c r="I39" s="75">
        <f>F39</f>
      </c>
    </row>
    <row r="40">
      <c r="A40" s="72" t="s">
        <v>33</v>
      </c>
      <c r="B40" s="73"/>
      <c r="C40" s="73"/>
      <c r="D40" s="73"/>
      <c r="E40" s="74"/>
      <c r="F40" s="75">
        <f>SUM('Stavební rozpočet'!BR12:BR306)</f>
      </c>
      <c r="G40" s="76" t="s">
        <v>10</v>
      </c>
      <c r="H40" s="76" t="s">
        <v>10</v>
      </c>
      <c r="I40" s="75">
        <f>F40</f>
      </c>
    </row>
    <row r="41">
      <c r="A41" s="72" t="s">
        <v>34</v>
      </c>
      <c r="B41" s="73"/>
      <c r="C41" s="73"/>
      <c r="D41" s="73"/>
      <c r="E41" s="74"/>
      <c r="F41" s="75">
        <f>SUM('Stavební rozpočet'!BS12:BS306)</f>
      </c>
      <c r="G41" s="76" t="s">
        <v>10</v>
      </c>
      <c r="H41" s="76" t="s">
        <v>10</v>
      </c>
      <c r="I41" s="75">
        <f>F41</f>
      </c>
    </row>
    <row r="42">
      <c r="A42" s="72" t="s">
        <v>74</v>
      </c>
      <c r="B42" s="73"/>
      <c r="C42" s="73"/>
      <c r="D42" s="73"/>
      <c r="E42" s="74"/>
      <c r="F42" s="75">
        <f>SUM('Stavební rozpočet'!BT12:BT306)</f>
      </c>
      <c r="G42" s="76" t="s">
        <v>10</v>
      </c>
      <c r="H42" s="76" t="s">
        <v>10</v>
      </c>
      <c r="I42" s="75">
        <f>F42</f>
      </c>
    </row>
    <row r="43">
      <c r="A43" s="72" t="s">
        <v>75</v>
      </c>
      <c r="B43" s="73"/>
      <c r="C43" s="73"/>
      <c r="D43" s="73"/>
      <c r="E43" s="74"/>
      <c r="F43" s="75">
        <f>SUM('Stavební rozpočet'!BU12:BU306)</f>
      </c>
      <c r="G43" s="76" t="s">
        <v>10</v>
      </c>
      <c r="H43" s="76" t="s">
        <v>10</v>
      </c>
      <c r="I43" s="75">
        <f>F43</f>
      </c>
    </row>
    <row r="44">
      <c r="A44" s="77" t="s">
        <v>76</v>
      </c>
      <c r="B44" s="78"/>
      <c r="C44" s="78"/>
      <c r="D44" s="78"/>
      <c r="E44" s="79"/>
      <c r="F44" s="80">
        <f>SUM('Stavební rozpočet'!BV12:BV306)</f>
      </c>
      <c r="G44" s="81" t="s">
        <v>10</v>
      </c>
      <c r="H44" s="81" t="s">
        <v>10</v>
      </c>
      <c r="I44" s="80">
        <f>F44</f>
      </c>
    </row>
    <row r="45">
      <c r="A45" s="82" t="s">
        <v>77</v>
      </c>
      <c r="B45" s="83"/>
      <c r="C45" s="83"/>
      <c r="D45" s="83"/>
      <c r="E45" s="84"/>
      <c r="F45" s="85" t="s">
        <v>10</v>
      </c>
      <c r="G45" s="86" t="s">
        <v>10</v>
      </c>
      <c r="H45" s="86" t="s">
        <v>10</v>
      </c>
      <c r="I45" s="87">
        <f>SUM(I35:I44)</f>
      </c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ED0E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H2:H3"/>
    <mergeCell ref="H4:H5"/>
    <mergeCell ref="H6:H7"/>
    <mergeCell ref="H8:H9"/>
    <mergeCell ref="H10:H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I2:I3"/>
    <mergeCell ref="I4:I5"/>
    <mergeCell ref="I6:I7"/>
    <mergeCell ref="I8:I9"/>
    <mergeCell ref="I10:I11"/>
    <mergeCell ref="A13:E13"/>
    <mergeCell ref="A14:E14"/>
    <mergeCell ref="A15:E15"/>
    <mergeCell ref="A16:E16"/>
    <mergeCell ref="A17:E17"/>
    <mergeCell ref="A18:E18"/>
    <mergeCell ref="A20:E20"/>
    <mergeCell ref="A21:E21"/>
    <mergeCell ref="A22:E22"/>
    <mergeCell ref="A23:E23"/>
    <mergeCell ref="A24:E24"/>
    <mergeCell ref="A25:E25"/>
    <mergeCell ref="A26:E26"/>
    <mergeCell ref="A27:E27"/>
    <mergeCell ref="A29:E29"/>
    <mergeCell ref="F29:I29"/>
    <mergeCell ref="A33:E33"/>
    <mergeCell ref="A34:E34"/>
    <mergeCell ref="A35:E35"/>
    <mergeCell ref="A36:E36"/>
    <mergeCell ref="A37:E37"/>
    <mergeCell ref="A38:E38"/>
    <mergeCell ref="A39:E39"/>
    <mergeCell ref="A40:E40"/>
    <mergeCell ref="A41:E41"/>
    <mergeCell ref="A42:E42"/>
    <mergeCell ref="A43:E43"/>
    <mergeCell ref="A44:E44"/>
    <mergeCell ref="A45:E45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P17"/>
  <sheetViews>
    <sheetView workbookViewId="0" showZeros="true" showFormulas="false" showGridLines="true" showRowColHeaders="true">
      <pane topLeftCell="A12" state="frozen" activePane="bottomLeft" ySplit="11"/>
      <selection pane="bottomLeft" sqref="A17:L17" activeCell="A17"/>
    </sheetView>
  </sheetViews>
  <sheetFormatPr defaultColWidth="12.140625" customHeight="true" defaultRowHeight="15"/>
  <cols>
    <col max="9" min="1" style="0" width="15.7109375" customWidth="true"/>
    <col max="12" min="10" style="0" width="14.28515625" customWidth="true"/>
    <col max="16" min="13" style="0" width="12.140625" hidden="true"/>
  </cols>
  <sheetData>
    <row r="1" customHeight="true" ht="54.75">
      <c r="A1" s="2" t="s">
        <v>78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>
      <c r="A2" s="3" t="s">
        <v>1</v>
      </c>
      <c r="B2" s="4"/>
      <c r="C2" s="4"/>
      <c r="D2" s="5">
        <f>'Stavební rozpočet'!C2</f>
      </c>
      <c r="E2" s="6"/>
      <c r="F2" s="6"/>
      <c r="G2" s="7" t="s">
        <v>79</v>
      </c>
      <c r="H2" s="7">
        <f>'Stavební rozpočet'!G2</f>
      </c>
      <c r="I2" s="7" t="s">
        <v>2</v>
      </c>
      <c r="J2" s="7">
        <f>'Stavební rozpočet'!I2</f>
      </c>
      <c r="K2" s="4"/>
      <c r="L2" s="8"/>
    </row>
    <row r="3" customHeight="true" ht="15">
      <c r="A3" s="9"/>
      <c r="B3" s="10"/>
      <c r="C3" s="10"/>
      <c r="D3" s="11"/>
      <c r="E3" s="11"/>
      <c r="F3" s="11"/>
      <c r="G3" s="10"/>
      <c r="H3" s="10"/>
      <c r="I3" s="10"/>
      <c r="J3" s="10"/>
      <c r="K3" s="10"/>
      <c r="L3" s="12"/>
    </row>
    <row r="4">
      <c r="A4" s="13" t="s">
        <v>5</v>
      </c>
      <c r="B4" s="10"/>
      <c r="C4" s="10"/>
      <c r="D4" s="14">
        <f>'Stavební rozpočet'!C4</f>
      </c>
      <c r="E4" s="10"/>
      <c r="F4" s="10"/>
      <c r="G4" s="14" t="s">
        <v>11</v>
      </c>
      <c r="H4" s="14">
        <f>'Stavební rozpočet'!G4</f>
      </c>
      <c r="I4" s="14" t="s">
        <v>6</v>
      </c>
      <c r="J4" s="14">
        <f>'Stavební rozpočet'!I4</f>
      </c>
      <c r="K4" s="10"/>
      <c r="L4" s="12"/>
    </row>
    <row r="5" customHeight="true" ht="15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2"/>
    </row>
    <row r="6">
      <c r="A6" s="13" t="s">
        <v>8</v>
      </c>
      <c r="B6" s="10"/>
      <c r="C6" s="10"/>
      <c r="D6" s="14">
        <f>'Stavební rozpočet'!C6</f>
      </c>
      <c r="E6" s="10"/>
      <c r="F6" s="10"/>
      <c r="G6" s="14" t="s">
        <v>12</v>
      </c>
      <c r="H6" s="14">
        <f>'Stavební rozpočet'!G6</f>
      </c>
      <c r="I6" s="14" t="s">
        <v>9</v>
      </c>
      <c r="J6" s="14">
        <f>'Stavební rozpočet'!I6</f>
      </c>
      <c r="K6" s="10"/>
      <c r="L6" s="12"/>
    </row>
    <row r="7" customHeight="true" ht="15">
      <c r="A7" s="9"/>
      <c r="B7" s="10"/>
      <c r="C7" s="10"/>
      <c r="D7" s="10"/>
      <c r="E7" s="10"/>
      <c r="F7" s="10"/>
      <c r="G7" s="10"/>
      <c r="H7" s="10"/>
      <c r="I7" s="10"/>
      <c r="J7" s="10"/>
      <c r="K7" s="10"/>
      <c r="L7" s="12"/>
    </row>
    <row r="8">
      <c r="A8" s="13" t="s">
        <v>14</v>
      </c>
      <c r="B8" s="10"/>
      <c r="C8" s="10"/>
      <c r="D8" s="14">
        <f>'Stavební rozpočet'!C8</f>
      </c>
      <c r="E8" s="10"/>
      <c r="F8" s="10"/>
      <c r="G8" s="14" t="s">
        <v>80</v>
      </c>
      <c r="H8" s="14">
        <f>'Stavební rozpočet'!G8</f>
      </c>
      <c r="I8" s="14" t="s">
        <v>15</v>
      </c>
      <c r="J8" s="14">
        <f>'Stavební rozpočet'!I8</f>
      </c>
      <c r="K8" s="10"/>
      <c r="L8" s="12"/>
    </row>
    <row r="9">
      <c r="A9" s="94"/>
      <c r="B9" s="95"/>
      <c r="C9" s="95"/>
      <c r="D9" s="95"/>
      <c r="E9" s="95"/>
      <c r="F9" s="95"/>
      <c r="G9" s="95"/>
      <c r="H9" s="95"/>
      <c r="I9" s="95"/>
      <c r="J9" s="95"/>
      <c r="K9" s="95"/>
      <c r="L9" s="96"/>
    </row>
    <row r="10">
      <c r="A10" s="97" t="s">
        <v>81</v>
      </c>
      <c r="B10" s="98"/>
      <c r="C10" s="98"/>
      <c r="D10" s="98"/>
      <c r="E10" s="98"/>
      <c r="F10" s="98"/>
      <c r="G10" s="98"/>
      <c r="H10" s="98"/>
      <c r="I10" s="99"/>
      <c r="J10" s="100" t="s">
        <v>82</v>
      </c>
      <c r="K10" s="101"/>
      <c r="L10" s="102"/>
    </row>
    <row r="11">
      <c r="A11" s="103" t="s">
        <v>83</v>
      </c>
      <c r="B11" s="104"/>
      <c r="C11" s="104"/>
      <c r="D11" s="104"/>
      <c r="E11" s="104"/>
      <c r="F11" s="104"/>
      <c r="G11" s="104"/>
      <c r="H11" s="104"/>
      <c r="I11" s="105"/>
      <c r="J11" s="106" t="s">
        <v>84</v>
      </c>
      <c r="K11" s="107" t="s">
        <v>28</v>
      </c>
      <c r="L11" s="108" t="s">
        <v>85</v>
      </c>
    </row>
    <row r="12">
      <c r="A12" s="109" t="s">
        <v>86</v>
      </c>
      <c r="B12" s="110"/>
      <c r="C12" s="110"/>
      <c r="D12" s="110"/>
      <c r="E12" s="110"/>
      <c r="F12" s="110"/>
      <c r="G12" s="110"/>
      <c r="H12" s="110"/>
      <c r="I12" s="110"/>
      <c r="J12" s="111">
        <f>ROUND('Stavební rozpočet'!H12,2)</f>
      </c>
      <c r="K12" s="111">
        <f>ROUND('Stavební rozpočet'!I12,2)</f>
      </c>
      <c r="L12" s="112">
        <f>ROUND('Stavební rozpočet'!J12,2)</f>
      </c>
      <c r="M12" s="113" t="s">
        <v>87</v>
      </c>
      <c r="N12" s="114">
        <f>IF(M12="F",0,L12)</f>
      </c>
      <c r="O12" s="10" t="s">
        <v>88</v>
      </c>
      <c r="P12" s="114">
        <f>IF(M12="T",0,L12)</f>
      </c>
    </row>
    <row r="13">
      <c r="A13" s="9" t="s">
        <v>89</v>
      </c>
      <c r="B13" s="10"/>
      <c r="C13" s="10"/>
      <c r="D13" s="10"/>
      <c r="E13" s="10"/>
      <c r="F13" s="10"/>
      <c r="G13" s="10"/>
      <c r="H13" s="10"/>
      <c r="I13" s="10"/>
      <c r="J13" s="114">
        <f>ROUND('Stavební rozpočet'!H112,2)</f>
      </c>
      <c r="K13" s="114">
        <f>ROUND('Stavební rozpočet'!I112,2)</f>
      </c>
      <c r="L13" s="115">
        <f>ROUND('Stavební rozpočet'!J112,2)</f>
      </c>
      <c r="M13" s="113" t="s">
        <v>87</v>
      </c>
      <c r="N13" s="114">
        <f>IF(M13="F",0,L13)</f>
      </c>
      <c r="O13" s="10" t="s">
        <v>90</v>
      </c>
      <c r="P13" s="114">
        <f>IF(M13="T",0,L13)</f>
      </c>
    </row>
    <row r="14">
      <c r="A14" s="17" t="s">
        <v>59</v>
      </c>
      <c r="B14" s="18"/>
      <c r="C14" s="18"/>
      <c r="D14" s="18"/>
      <c r="E14" s="18"/>
      <c r="F14" s="18"/>
      <c r="G14" s="18"/>
      <c r="H14" s="18"/>
      <c r="I14" s="18"/>
      <c r="J14" s="116">
        <f>ROUND('Stavební rozpočet'!H131,2)</f>
      </c>
      <c r="K14" s="116">
        <f>ROUND('Stavební rozpočet'!I131,2)</f>
      </c>
      <c r="L14" s="117">
        <f>ROUND('Stavební rozpočet'!J131,2)</f>
      </c>
      <c r="M14" s="113" t="s">
        <v>87</v>
      </c>
      <c r="N14" s="114">
        <f>IF(M14="F",0,L14)</f>
      </c>
      <c r="O14" s="10" t="s">
        <v>91</v>
      </c>
      <c r="P14" s="114">
        <f>IF(M14="T",0,L14)</f>
      </c>
    </row>
    <row r="15">
      <c r="J15" s="118" t="s">
        <v>92</v>
      </c>
      <c r="K15" s="118"/>
      <c r="L15" s="119">
        <f>ROUND(SUM(P12:P14),2)</f>
      </c>
    </row>
    <row r="16">
      <c r="A16" s="120" t="s">
        <v>58</v>
      </c>
    </row>
    <row r="17" customHeight="true" ht="12.75">
      <c r="A17" s="14" t="s">
        <v>10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ED0E"/>
  <mergeCells>
    <mergeCell ref="A1:L1"/>
    <mergeCell ref="A2:C3"/>
    <mergeCell ref="A4:C5"/>
    <mergeCell ref="A6:C7"/>
    <mergeCell ref="A8:C9"/>
    <mergeCell ref="D2:F3"/>
    <mergeCell ref="D4:F5"/>
    <mergeCell ref="D6:F7"/>
    <mergeCell ref="D8:F9"/>
    <mergeCell ref="G2:G3"/>
    <mergeCell ref="G4:G5"/>
    <mergeCell ref="G6:G7"/>
    <mergeCell ref="G8:G9"/>
    <mergeCell ref="H2:H3"/>
    <mergeCell ref="H4:H5"/>
    <mergeCell ref="H6:H7"/>
    <mergeCell ref="H8:H9"/>
    <mergeCell ref="I2:I3"/>
    <mergeCell ref="I4:I5"/>
    <mergeCell ref="I6:I7"/>
    <mergeCell ref="I8:I9"/>
    <mergeCell ref="J2:L3"/>
    <mergeCell ref="J4:L5"/>
    <mergeCell ref="J6:L7"/>
    <mergeCell ref="J8:L9"/>
    <mergeCell ref="A10:I10"/>
    <mergeCell ref="A11:I11"/>
    <mergeCell ref="J10:L10"/>
    <mergeCell ref="A12:I12"/>
    <mergeCell ref="A13:I13"/>
    <mergeCell ref="A14:I14"/>
    <mergeCell ref="J15:K15"/>
    <mergeCell ref="A17:L17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BX156"/>
  <sheetViews>
    <sheetView workbookViewId="0" showZeros="true" showFormulas="false" showGridLines="true" showRowColHeaders="true">
      <pane topLeftCell="A12" state="frozen" activePane="bottomLeft" ySplit="11"/>
      <selection pane="bottomLeft" sqref="A156:K156" activeCell="A156"/>
    </sheetView>
  </sheetViews>
  <sheetFormatPr defaultColWidth="12.140625" customHeight="true" defaultRowHeight="15"/>
  <cols>
    <col max="1" min="1" style="0" width="3.99609375" customWidth="true"/>
    <col max="2" min="2" style="0" width="17.85546875" customWidth="true"/>
    <col max="3" min="3" style="0" width="42.85546875" customWidth="true"/>
    <col max="4" min="4" style="0" width="35.7109375" customWidth="true"/>
    <col max="5" min="5" style="0" width="6.7109375" customWidth="true"/>
    <col max="6" min="6" style="0" width="12.85546875" customWidth="true"/>
    <col max="7" min="7" style="0" width="12" customWidth="true"/>
    <col max="10" min="8" style="0" width="15.7109375" customWidth="true"/>
    <col max="11" min="11" style="0" width="13.42578125" customWidth="true"/>
    <col max="75" min="25" style="0" width="12.140625" hidden="true"/>
    <col max="76" min="76" style="0" width="78.5703125" customWidth="true" hidden="true"/>
    <col max="78" min="77" style="0" width="12.140625" hidden="true"/>
  </cols>
  <sheetData>
    <row r="1" customHeight="true" ht="54.75">
      <c r="A1" s="2" t="s">
        <v>93</v>
      </c>
      <c r="B1" s="2"/>
      <c r="C1" s="2"/>
      <c r="D1" s="2"/>
      <c r="E1" s="2"/>
      <c r="F1" s="2"/>
      <c r="G1" s="2"/>
      <c r="H1" s="2"/>
      <c r="I1" s="2"/>
      <c r="J1" s="2"/>
      <c r="K1" s="2"/>
      <c r="AS1" s="121">
        <f>SUM(AJ1:AJ2)</f>
      </c>
      <c r="AT1" s="121">
        <f>SUM(AK1:AK2)</f>
      </c>
      <c r="AU1" s="121">
        <f>SUM(AL1:AL2)</f>
      </c>
    </row>
    <row r="2">
      <c r="A2" s="3" t="s">
        <v>1</v>
      </c>
      <c r="B2" s="4"/>
      <c r="C2" s="5" t="s">
        <v>94</v>
      </c>
      <c r="D2" s="6"/>
      <c r="E2" s="4" t="s">
        <v>79</v>
      </c>
      <c r="F2" s="4"/>
      <c r="G2" s="122" t="s">
        <v>81</v>
      </c>
      <c r="H2" s="7" t="s">
        <v>2</v>
      </c>
      <c r="I2" s="7" t="s">
        <v>95</v>
      </c>
      <c r="J2" s="4"/>
      <c r="K2" s="8"/>
    </row>
    <row r="3">
      <c r="A3" s="9"/>
      <c r="B3" s="10"/>
      <c r="C3" s="11"/>
      <c r="D3" s="11"/>
      <c r="E3" s="10"/>
      <c r="F3" s="10"/>
      <c r="G3" s="123"/>
      <c r="H3" s="10"/>
      <c r="I3" s="10"/>
      <c r="J3" s="10"/>
      <c r="K3" s="12"/>
    </row>
    <row r="4">
      <c r="A4" s="13" t="s">
        <v>5</v>
      </c>
      <c r="B4" s="10"/>
      <c r="C4" s="14" t="s">
        <v>96</v>
      </c>
      <c r="D4" s="10"/>
      <c r="E4" s="10" t="s">
        <v>11</v>
      </c>
      <c r="F4" s="10"/>
      <c r="G4" s="123" t="s">
        <v>97</v>
      </c>
      <c r="H4" s="14" t="s">
        <v>6</v>
      </c>
      <c r="I4" s="14" t="s">
        <v>98</v>
      </c>
      <c r="J4" s="10"/>
      <c r="K4" s="12"/>
    </row>
    <row r="5">
      <c r="A5" s="9"/>
      <c r="B5" s="10"/>
      <c r="C5" s="10"/>
      <c r="D5" s="10"/>
      <c r="E5" s="10"/>
      <c r="F5" s="10"/>
      <c r="G5" s="123"/>
      <c r="H5" s="10"/>
      <c r="I5" s="10"/>
      <c r="J5" s="10"/>
      <c r="K5" s="12"/>
    </row>
    <row r="6">
      <c r="A6" s="13" t="s">
        <v>8</v>
      </c>
      <c r="B6" s="10"/>
      <c r="C6" s="14" t="s">
        <v>99</v>
      </c>
      <c r="D6" s="10"/>
      <c r="E6" s="10" t="s">
        <v>12</v>
      </c>
      <c r="F6" s="10"/>
      <c r="G6" s="123" t="s">
        <v>81</v>
      </c>
      <c r="H6" s="14" t="s">
        <v>9</v>
      </c>
      <c r="I6" s="123" t="s">
        <v>100</v>
      </c>
      <c r="J6" s="123"/>
      <c r="K6" s="124"/>
    </row>
    <row r="7">
      <c r="A7" s="9"/>
      <c r="B7" s="10"/>
      <c r="C7" s="10"/>
      <c r="D7" s="10"/>
      <c r="E7" s="10"/>
      <c r="F7" s="10"/>
      <c r="G7" s="123"/>
      <c r="H7" s="10"/>
      <c r="I7" s="123"/>
      <c r="J7" s="123"/>
      <c r="K7" s="124"/>
    </row>
    <row r="8">
      <c r="A8" s="13" t="s">
        <v>14</v>
      </c>
      <c r="B8" s="10"/>
      <c r="C8" s="14" t="s">
        <v>101</v>
      </c>
      <c r="D8" s="10"/>
      <c r="E8" s="10" t="s">
        <v>80</v>
      </c>
      <c r="F8" s="10"/>
      <c r="G8" s="123" t="s">
        <v>97</v>
      </c>
      <c r="H8" s="14" t="s">
        <v>15</v>
      </c>
      <c r="I8" s="125" t="s">
        <v>102</v>
      </c>
      <c r="J8" s="123"/>
      <c r="K8" s="124"/>
    </row>
    <row r="9">
      <c r="A9" s="94"/>
      <c r="B9" s="95"/>
      <c r="C9" s="95"/>
      <c r="D9" s="95"/>
      <c r="E9" s="95"/>
      <c r="F9" s="95"/>
      <c r="G9" s="126"/>
      <c r="H9" s="95"/>
      <c r="I9" s="126"/>
      <c r="J9" s="126"/>
      <c r="K9" s="127"/>
    </row>
    <row r="10">
      <c r="A10" s="128" t="s">
        <v>103</v>
      </c>
      <c r="B10" s="129" t="s">
        <v>104</v>
      </c>
      <c r="C10" s="130" t="s">
        <v>105</v>
      </c>
      <c r="D10" s="131"/>
      <c r="E10" s="129" t="s">
        <v>106</v>
      </c>
      <c r="F10" s="132" t="s">
        <v>107</v>
      </c>
      <c r="G10" s="133" t="s">
        <v>108</v>
      </c>
      <c r="H10" s="100" t="s">
        <v>82</v>
      </c>
      <c r="I10" s="101"/>
      <c r="J10" s="102"/>
      <c r="K10" s="134" t="s">
        <v>109</v>
      </c>
      <c r="BK10" s="135" t="s">
        <v>110</v>
      </c>
      <c r="BL10" s="136" t="s">
        <v>111</v>
      </c>
      <c r="BW10" s="136" t="s">
        <v>112</v>
      </c>
    </row>
    <row r="11">
      <c r="A11" s="137" t="s">
        <v>81</v>
      </c>
      <c r="B11" s="138" t="s">
        <v>81</v>
      </c>
      <c r="C11" s="139" t="s">
        <v>113</v>
      </c>
      <c r="D11" s="140"/>
      <c r="E11" s="138" t="s">
        <v>81</v>
      </c>
      <c r="F11" s="138" t="s">
        <v>81</v>
      </c>
      <c r="G11" s="141" t="s">
        <v>114</v>
      </c>
      <c r="H11" s="106" t="s">
        <v>84</v>
      </c>
      <c r="I11" s="107" t="s">
        <v>28</v>
      </c>
      <c r="J11" s="108" t="s">
        <v>85</v>
      </c>
      <c r="K11" s="142" t="s">
        <v>115</v>
      </c>
      <c r="Z11" s="135" t="s">
        <v>116</v>
      </c>
      <c r="AA11" s="135" t="s">
        <v>117</v>
      </c>
      <c r="AB11" s="135" t="s">
        <v>118</v>
      </c>
      <c r="AC11" s="135" t="s">
        <v>119</v>
      </c>
      <c r="AD11" s="135" t="s">
        <v>120</v>
      </c>
      <c r="AE11" s="135" t="s">
        <v>121</v>
      </c>
      <c r="AF11" s="135" t="s">
        <v>122</v>
      </c>
      <c r="AG11" s="135" t="s">
        <v>123</v>
      </c>
      <c r="AH11" s="135" t="s">
        <v>124</v>
      </c>
      <c r="BH11" s="135" t="s">
        <v>125</v>
      </c>
      <c r="BI11" s="135" t="s">
        <v>126</v>
      </c>
      <c r="BJ11" s="135" t="s">
        <v>127</v>
      </c>
    </row>
    <row r="12">
      <c r="A12" s="143" t="s">
        <v>10</v>
      </c>
      <c r="B12" s="144" t="s">
        <v>10</v>
      </c>
      <c r="C12" s="145" t="s">
        <v>86</v>
      </c>
      <c r="D12" s="144"/>
      <c r="E12" s="146" t="s">
        <v>81</v>
      </c>
      <c r="F12" s="146" t="s">
        <v>81</v>
      </c>
      <c r="G12" s="147" t="s">
        <v>81</v>
      </c>
      <c r="H12" s="148">
        <f>H13+H18+H21+H30+H37+H39+H41+H44+H48+H50+H59+H63+H67+H70+H73+H81+H86+H89+H91+H100+H102</f>
      </c>
      <c r="I12" s="148">
        <f>I13+I18+I21+I30+I37+I39+I41+I44+I48+I50+I59+I63+I67+I70+I73+I81+I86+I89+I91+I100+I102</f>
      </c>
      <c r="J12" s="148">
        <f>J13+J18+J21+J30+J37+J39+J41+J44+J48+J50+J59+J63+J67+J70+J73+J81+J86+J89+J91+J100+J102</f>
      </c>
      <c r="K12" s="149" t="s">
        <v>10</v>
      </c>
    </row>
    <row r="13">
      <c r="A13" s="150" t="s">
        <v>10</v>
      </c>
      <c r="B13" s="151" t="s">
        <v>128</v>
      </c>
      <c r="C13" s="152" t="s">
        <v>129</v>
      </c>
      <c r="D13" s="151"/>
      <c r="E13" s="153" t="s">
        <v>81</v>
      </c>
      <c r="F13" s="153" t="s">
        <v>81</v>
      </c>
      <c r="G13" s="154" t="s">
        <v>81</v>
      </c>
      <c r="H13" s="121">
        <f>SUM(H14:H17)</f>
      </c>
      <c r="I13" s="121">
        <f>SUM(I14:I17)</f>
      </c>
      <c r="J13" s="121">
        <f>SUM(J14:J17)</f>
      </c>
      <c r="K13" s="155" t="s">
        <v>10</v>
      </c>
      <c r="AI13" s="135" t="s">
        <v>88</v>
      </c>
      <c r="AS13" s="121">
        <f>SUM(AJ14:AJ17)</f>
      </c>
      <c r="AT13" s="121">
        <f>SUM(AK14:AK17)</f>
      </c>
      <c r="AU13" s="121">
        <f>SUM(AL14:AL17)</f>
      </c>
    </row>
    <row r="14">
      <c r="A14" s="9" t="s">
        <v>130</v>
      </c>
      <c r="B14" s="10" t="s">
        <v>131</v>
      </c>
      <c r="C14" s="14" t="s">
        <v>132</v>
      </c>
      <c r="D14" s="10"/>
      <c r="E14" s="10" t="s">
        <v>133</v>
      </c>
      <c r="F14" s="114" t="n">
        <v>3</v>
      </c>
      <c r="G14" s="156" t="n">
        <v>0</v>
      </c>
      <c r="H14" s="114">
        <f>ROUND(F14*AO14,2)</f>
      </c>
      <c r="I14" s="114">
        <f>ROUND(F14*AP14,2)</f>
      </c>
      <c r="J14" s="114">
        <f>ROUND(F14*G14,2)</f>
      </c>
      <c r="K14" s="157" t="s">
        <v>134</v>
      </c>
      <c r="Z14" s="114">
        <f>ROUND(IF(AQ14="5",BJ14,0),2)</f>
      </c>
      <c r="AB14" s="114">
        <f>ROUND(IF(AQ14="1",BH14,0),2)</f>
      </c>
      <c r="AC14" s="114">
        <f>ROUND(IF(AQ14="1",BI14,0),2)</f>
      </c>
      <c r="AD14" s="114">
        <f>ROUND(IF(AQ14="7",BH14,0),2)</f>
      </c>
      <c r="AE14" s="114">
        <f>ROUND(IF(AQ14="7",BI14,0),2)</f>
      </c>
      <c r="AF14" s="114">
        <f>ROUND(IF(AQ14="2",BH14,0),2)</f>
      </c>
      <c r="AG14" s="114">
        <f>ROUND(IF(AQ14="2",BI14,0),2)</f>
      </c>
      <c r="AH14" s="114">
        <f>ROUND(IF(AQ14="0",BJ14,0),2)</f>
      </c>
      <c r="AI14" s="135" t="s">
        <v>88</v>
      </c>
      <c r="AJ14" s="114">
        <f>IF(AN14=0,J14,0)</f>
      </c>
      <c r="AK14" s="114">
        <f>IF(AN14=12,J14,0)</f>
      </c>
      <c r="AL14" s="114">
        <f>IF(AN14=21,J14,0)</f>
      </c>
      <c r="AN14" s="114" t="n">
        <v>21</v>
      </c>
      <c r="AO14" s="114">
        <f>G14*0</f>
      </c>
      <c r="AP14" s="114">
        <f>G14*(1-0)</f>
      </c>
      <c r="AQ14" s="158" t="s">
        <v>130</v>
      </c>
      <c r="AV14" s="114">
        <f>ROUND(AW14+AX14,2)</f>
      </c>
      <c r="AW14" s="114">
        <f>ROUND(F14*AO14,2)</f>
      </c>
      <c r="AX14" s="114">
        <f>ROUND(F14*AP14,2)</f>
      </c>
      <c r="AY14" s="158" t="s">
        <v>135</v>
      </c>
      <c r="AZ14" s="158" t="s">
        <v>136</v>
      </c>
      <c r="BA14" s="135" t="s">
        <v>137</v>
      </c>
      <c r="BC14" s="114">
        <f>AW14+AX14</f>
      </c>
      <c r="BD14" s="114">
        <f>G14/(100-BE14)*100</f>
      </c>
      <c r="BE14" s="114" t="n">
        <v>0</v>
      </c>
      <c r="BF14" s="114">
        <f>14</f>
      </c>
      <c r="BH14" s="114">
        <f>F14*AO14</f>
      </c>
      <c r="BI14" s="114">
        <f>F14*AP14</f>
      </c>
      <c r="BJ14" s="114">
        <f>F14*G14</f>
      </c>
      <c r="BK14" s="158" t="s">
        <v>138</v>
      </c>
      <c r="BL14" s="114" t="n">
        <v>11</v>
      </c>
      <c r="BW14" s="114" t="n">
        <v>21</v>
      </c>
      <c r="BX14" s="14" t="s">
        <v>132</v>
      </c>
    </row>
    <row r="15">
      <c r="A15" s="9" t="s">
        <v>139</v>
      </c>
      <c r="B15" s="10" t="s">
        <v>140</v>
      </c>
      <c r="C15" s="14" t="s">
        <v>141</v>
      </c>
      <c r="D15" s="10"/>
      <c r="E15" s="10" t="s">
        <v>133</v>
      </c>
      <c r="F15" s="114" t="n">
        <v>16</v>
      </c>
      <c r="G15" s="156" t="n">
        <v>0</v>
      </c>
      <c r="H15" s="114">
        <f>ROUND(F15*AO15,2)</f>
      </c>
      <c r="I15" s="114">
        <f>ROUND(F15*AP15,2)</f>
      </c>
      <c r="J15" s="114">
        <f>ROUND(F15*G15,2)</f>
      </c>
      <c r="K15" s="157" t="s">
        <v>134</v>
      </c>
      <c r="Z15" s="114">
        <f>ROUND(IF(AQ15="5",BJ15,0),2)</f>
      </c>
      <c r="AB15" s="114">
        <f>ROUND(IF(AQ15="1",BH15,0),2)</f>
      </c>
      <c r="AC15" s="114">
        <f>ROUND(IF(AQ15="1",BI15,0),2)</f>
      </c>
      <c r="AD15" s="114">
        <f>ROUND(IF(AQ15="7",BH15,0),2)</f>
      </c>
      <c r="AE15" s="114">
        <f>ROUND(IF(AQ15="7",BI15,0),2)</f>
      </c>
      <c r="AF15" s="114">
        <f>ROUND(IF(AQ15="2",BH15,0),2)</f>
      </c>
      <c r="AG15" s="114">
        <f>ROUND(IF(AQ15="2",BI15,0),2)</f>
      </c>
      <c r="AH15" s="114">
        <f>ROUND(IF(AQ15="0",BJ15,0),2)</f>
      </c>
      <c r="AI15" s="135" t="s">
        <v>88</v>
      </c>
      <c r="AJ15" s="114">
        <f>IF(AN15=0,J15,0)</f>
      </c>
      <c r="AK15" s="114">
        <f>IF(AN15=12,J15,0)</f>
      </c>
      <c r="AL15" s="114">
        <f>IF(AN15=21,J15,0)</f>
      </c>
      <c r="AN15" s="114" t="n">
        <v>21</v>
      </c>
      <c r="AO15" s="114">
        <f>G15*0</f>
      </c>
      <c r="AP15" s="114">
        <f>G15*(1-0)</f>
      </c>
      <c r="AQ15" s="158" t="s">
        <v>130</v>
      </c>
      <c r="AV15" s="114">
        <f>ROUND(AW15+AX15,2)</f>
      </c>
      <c r="AW15" s="114">
        <f>ROUND(F15*AO15,2)</f>
      </c>
      <c r="AX15" s="114">
        <f>ROUND(F15*AP15,2)</f>
      </c>
      <c r="AY15" s="158" t="s">
        <v>135</v>
      </c>
      <c r="AZ15" s="158" t="s">
        <v>136</v>
      </c>
      <c r="BA15" s="135" t="s">
        <v>137</v>
      </c>
      <c r="BC15" s="114">
        <f>AW15+AX15</f>
      </c>
      <c r="BD15" s="114">
        <f>G15/(100-BE15)*100</f>
      </c>
      <c r="BE15" s="114" t="n">
        <v>0</v>
      </c>
      <c r="BF15" s="114">
        <f>15</f>
      </c>
      <c r="BH15" s="114">
        <f>F15*AO15</f>
      </c>
      <c r="BI15" s="114">
        <f>F15*AP15</f>
      </c>
      <c r="BJ15" s="114">
        <f>F15*G15</f>
      </c>
      <c r="BK15" s="158" t="s">
        <v>138</v>
      </c>
      <c r="BL15" s="114" t="n">
        <v>11</v>
      </c>
      <c r="BW15" s="114" t="n">
        <v>21</v>
      </c>
      <c r="BX15" s="14" t="s">
        <v>141</v>
      </c>
    </row>
    <row r="16">
      <c r="A16" s="9" t="s">
        <v>142</v>
      </c>
      <c r="B16" s="10" t="s">
        <v>143</v>
      </c>
      <c r="C16" s="14" t="s">
        <v>144</v>
      </c>
      <c r="D16" s="10"/>
      <c r="E16" s="10" t="s">
        <v>133</v>
      </c>
      <c r="F16" s="114" t="n">
        <v>6.3</v>
      </c>
      <c r="G16" s="156" t="n">
        <v>0</v>
      </c>
      <c r="H16" s="114">
        <f>ROUND(F16*AO16,2)</f>
      </c>
      <c r="I16" s="114">
        <f>ROUND(F16*AP16,2)</f>
      </c>
      <c r="J16" s="114">
        <f>ROUND(F16*G16,2)</f>
      </c>
      <c r="K16" s="157" t="s">
        <v>134</v>
      </c>
      <c r="Z16" s="114">
        <f>ROUND(IF(AQ16="5",BJ16,0),2)</f>
      </c>
      <c r="AB16" s="114">
        <f>ROUND(IF(AQ16="1",BH16,0),2)</f>
      </c>
      <c r="AC16" s="114">
        <f>ROUND(IF(AQ16="1",BI16,0),2)</f>
      </c>
      <c r="AD16" s="114">
        <f>ROUND(IF(AQ16="7",BH16,0),2)</f>
      </c>
      <c r="AE16" s="114">
        <f>ROUND(IF(AQ16="7",BI16,0),2)</f>
      </c>
      <c r="AF16" s="114">
        <f>ROUND(IF(AQ16="2",BH16,0),2)</f>
      </c>
      <c r="AG16" s="114">
        <f>ROUND(IF(AQ16="2",BI16,0),2)</f>
      </c>
      <c r="AH16" s="114">
        <f>ROUND(IF(AQ16="0",BJ16,0),2)</f>
      </c>
      <c r="AI16" s="135" t="s">
        <v>88</v>
      </c>
      <c r="AJ16" s="114">
        <f>IF(AN16=0,J16,0)</f>
      </c>
      <c r="AK16" s="114">
        <f>IF(AN16=12,J16,0)</f>
      </c>
      <c r="AL16" s="114">
        <f>IF(AN16=21,J16,0)</f>
      </c>
      <c r="AN16" s="114" t="n">
        <v>21</v>
      </c>
      <c r="AO16" s="114">
        <f>G16*0</f>
      </c>
      <c r="AP16" s="114">
        <f>G16*(1-0)</f>
      </c>
      <c r="AQ16" s="158" t="s">
        <v>130</v>
      </c>
      <c r="AV16" s="114">
        <f>ROUND(AW16+AX16,2)</f>
      </c>
      <c r="AW16" s="114">
        <f>ROUND(F16*AO16,2)</f>
      </c>
      <c r="AX16" s="114">
        <f>ROUND(F16*AP16,2)</f>
      </c>
      <c r="AY16" s="158" t="s">
        <v>135</v>
      </c>
      <c r="AZ16" s="158" t="s">
        <v>136</v>
      </c>
      <c r="BA16" s="135" t="s">
        <v>137</v>
      </c>
      <c r="BC16" s="114">
        <f>AW16+AX16</f>
      </c>
      <c r="BD16" s="114">
        <f>G16/(100-BE16)*100</f>
      </c>
      <c r="BE16" s="114" t="n">
        <v>0</v>
      </c>
      <c r="BF16" s="114">
        <f>16</f>
      </c>
      <c r="BH16" s="114">
        <f>F16*AO16</f>
      </c>
      <c r="BI16" s="114">
        <f>F16*AP16</f>
      </c>
      <c r="BJ16" s="114">
        <f>F16*G16</f>
      </c>
      <c r="BK16" s="158" t="s">
        <v>138</v>
      </c>
      <c r="BL16" s="114" t="n">
        <v>11</v>
      </c>
      <c r="BW16" s="114" t="n">
        <v>21</v>
      </c>
      <c r="BX16" s="14" t="s">
        <v>144</v>
      </c>
    </row>
    <row r="17">
      <c r="A17" s="9" t="s">
        <v>145</v>
      </c>
      <c r="B17" s="10" t="s">
        <v>146</v>
      </c>
      <c r="C17" s="14" t="s">
        <v>147</v>
      </c>
      <c r="D17" s="10"/>
      <c r="E17" s="10" t="s">
        <v>133</v>
      </c>
      <c r="F17" s="114" t="n">
        <v>3.5</v>
      </c>
      <c r="G17" s="156" t="n">
        <v>0</v>
      </c>
      <c r="H17" s="114">
        <f>ROUND(F17*AO17,2)</f>
      </c>
      <c r="I17" s="114">
        <f>ROUND(F17*AP17,2)</f>
      </c>
      <c r="J17" s="114">
        <f>ROUND(F17*G17,2)</f>
      </c>
      <c r="K17" s="157" t="s">
        <v>134</v>
      </c>
      <c r="Z17" s="114">
        <f>ROUND(IF(AQ17="5",BJ17,0),2)</f>
      </c>
      <c r="AB17" s="114">
        <f>ROUND(IF(AQ17="1",BH17,0),2)</f>
      </c>
      <c r="AC17" s="114">
        <f>ROUND(IF(AQ17="1",BI17,0),2)</f>
      </c>
      <c r="AD17" s="114">
        <f>ROUND(IF(AQ17="7",BH17,0),2)</f>
      </c>
      <c r="AE17" s="114">
        <f>ROUND(IF(AQ17="7",BI17,0),2)</f>
      </c>
      <c r="AF17" s="114">
        <f>ROUND(IF(AQ17="2",BH17,0),2)</f>
      </c>
      <c r="AG17" s="114">
        <f>ROUND(IF(AQ17="2",BI17,0),2)</f>
      </c>
      <c r="AH17" s="114">
        <f>ROUND(IF(AQ17="0",BJ17,0),2)</f>
      </c>
      <c r="AI17" s="135" t="s">
        <v>88</v>
      </c>
      <c r="AJ17" s="114">
        <f>IF(AN17=0,J17,0)</f>
      </c>
      <c r="AK17" s="114">
        <f>IF(AN17=12,J17,0)</f>
      </c>
      <c r="AL17" s="114">
        <f>IF(AN17=21,J17,0)</f>
      </c>
      <c r="AN17" s="114" t="n">
        <v>21</v>
      </c>
      <c r="AO17" s="114">
        <f>G17*0</f>
      </c>
      <c r="AP17" s="114">
        <f>G17*(1-0)</f>
      </c>
      <c r="AQ17" s="158" t="s">
        <v>130</v>
      </c>
      <c r="AV17" s="114">
        <f>ROUND(AW17+AX17,2)</f>
      </c>
      <c r="AW17" s="114">
        <f>ROUND(F17*AO17,2)</f>
      </c>
      <c r="AX17" s="114">
        <f>ROUND(F17*AP17,2)</f>
      </c>
      <c r="AY17" s="158" t="s">
        <v>135</v>
      </c>
      <c r="AZ17" s="158" t="s">
        <v>136</v>
      </c>
      <c r="BA17" s="135" t="s">
        <v>137</v>
      </c>
      <c r="BC17" s="114">
        <f>AW17+AX17</f>
      </c>
      <c r="BD17" s="114">
        <f>G17/(100-BE17)*100</f>
      </c>
      <c r="BE17" s="114" t="n">
        <v>0</v>
      </c>
      <c r="BF17" s="114">
        <f>17</f>
      </c>
      <c r="BH17" s="114">
        <f>F17*AO17</f>
      </c>
      <c r="BI17" s="114">
        <f>F17*AP17</f>
      </c>
      <c r="BJ17" s="114">
        <f>F17*G17</f>
      </c>
      <c r="BK17" s="158" t="s">
        <v>138</v>
      </c>
      <c r="BL17" s="114" t="n">
        <v>11</v>
      </c>
      <c r="BW17" s="114" t="n">
        <v>21</v>
      </c>
      <c r="BX17" s="14" t="s">
        <v>147</v>
      </c>
    </row>
    <row r="18">
      <c r="A18" s="150" t="s">
        <v>10</v>
      </c>
      <c r="B18" s="151" t="s">
        <v>148</v>
      </c>
      <c r="C18" s="152" t="s">
        <v>149</v>
      </c>
      <c r="D18" s="151"/>
      <c r="E18" s="153" t="s">
        <v>81</v>
      </c>
      <c r="F18" s="153" t="s">
        <v>81</v>
      </c>
      <c r="G18" s="154" t="s">
        <v>81</v>
      </c>
      <c r="H18" s="121">
        <f>SUM(H19:H19)</f>
      </c>
      <c r="I18" s="121">
        <f>SUM(I19:I19)</f>
      </c>
      <c r="J18" s="121">
        <f>SUM(J19:J19)</f>
      </c>
      <c r="K18" s="155" t="s">
        <v>10</v>
      </c>
      <c r="AI18" s="135" t="s">
        <v>88</v>
      </c>
      <c r="AS18" s="121">
        <f>SUM(AJ19:AJ19)</f>
      </c>
      <c r="AT18" s="121">
        <f>SUM(AK19:AK19)</f>
      </c>
      <c r="AU18" s="121">
        <f>SUM(AL19:AL19)</f>
      </c>
    </row>
    <row r="19">
      <c r="A19" s="9" t="s">
        <v>150</v>
      </c>
      <c r="B19" s="10" t="s">
        <v>151</v>
      </c>
      <c r="C19" s="14" t="s">
        <v>152</v>
      </c>
      <c r="D19" s="10"/>
      <c r="E19" s="10" t="s">
        <v>153</v>
      </c>
      <c r="F19" s="114" t="n">
        <v>35.06</v>
      </c>
      <c r="G19" s="156" t="n">
        <v>0</v>
      </c>
      <c r="H19" s="114">
        <f>ROUND(F19*AO19,2)</f>
      </c>
      <c r="I19" s="114">
        <f>ROUND(F19*AP19,2)</f>
      </c>
      <c r="J19" s="114">
        <f>ROUND(F19*G19,2)</f>
      </c>
      <c r="K19" s="157" t="s">
        <v>134</v>
      </c>
      <c r="Z19" s="114">
        <f>ROUND(IF(AQ19="5",BJ19,0),2)</f>
      </c>
      <c r="AB19" s="114">
        <f>ROUND(IF(AQ19="1",BH19,0),2)</f>
      </c>
      <c r="AC19" s="114">
        <f>ROUND(IF(AQ19="1",BI19,0),2)</f>
      </c>
      <c r="AD19" s="114">
        <f>ROUND(IF(AQ19="7",BH19,0),2)</f>
      </c>
      <c r="AE19" s="114">
        <f>ROUND(IF(AQ19="7",BI19,0),2)</f>
      </c>
      <c r="AF19" s="114">
        <f>ROUND(IF(AQ19="2",BH19,0),2)</f>
      </c>
      <c r="AG19" s="114">
        <f>ROUND(IF(AQ19="2",BI19,0),2)</f>
      </c>
      <c r="AH19" s="114">
        <f>ROUND(IF(AQ19="0",BJ19,0),2)</f>
      </c>
      <c r="AI19" s="135" t="s">
        <v>88</v>
      </c>
      <c r="AJ19" s="114">
        <f>IF(AN19=0,J19,0)</f>
      </c>
      <c r="AK19" s="114">
        <f>IF(AN19=12,J19,0)</f>
      </c>
      <c r="AL19" s="114">
        <f>IF(AN19=21,J19,0)</f>
      </c>
      <c r="AN19" s="114" t="n">
        <v>21</v>
      </c>
      <c r="AO19" s="114">
        <f>G19*0</f>
      </c>
      <c r="AP19" s="114">
        <f>G19*(1-0)</f>
      </c>
      <c r="AQ19" s="158" t="s">
        <v>130</v>
      </c>
      <c r="AV19" s="114">
        <f>ROUND(AW19+AX19,2)</f>
      </c>
      <c r="AW19" s="114">
        <f>ROUND(F19*AO19,2)</f>
      </c>
      <c r="AX19" s="114">
        <f>ROUND(F19*AP19,2)</f>
      </c>
      <c r="AY19" s="158" t="s">
        <v>154</v>
      </c>
      <c r="AZ19" s="158" t="s">
        <v>136</v>
      </c>
      <c r="BA19" s="135" t="s">
        <v>137</v>
      </c>
      <c r="BC19" s="114">
        <f>AW19+AX19</f>
      </c>
      <c r="BD19" s="114">
        <f>G19/(100-BE19)*100</f>
      </c>
      <c r="BE19" s="114" t="n">
        <v>0</v>
      </c>
      <c r="BF19" s="114">
        <f>19</f>
      </c>
      <c r="BH19" s="114">
        <f>F19*AO19</f>
      </c>
      <c r="BI19" s="114">
        <f>F19*AP19</f>
      </c>
      <c r="BJ19" s="114">
        <f>F19*G19</f>
      </c>
      <c r="BK19" s="158" t="s">
        <v>138</v>
      </c>
      <c r="BL19" s="114" t="n">
        <v>12</v>
      </c>
      <c r="BW19" s="114" t="n">
        <v>21</v>
      </c>
      <c r="BX19" s="14" t="s">
        <v>152</v>
      </c>
    </row>
    <row r="20" customHeight="true" ht="13.5">
      <c r="A20" s="159"/>
      <c r="B20" s="160" t="s">
        <v>155</v>
      </c>
      <c r="C20" s="161" t="s">
        <v>156</v>
      </c>
      <c r="D20" s="162"/>
      <c r="E20" s="162"/>
      <c r="F20" s="162"/>
      <c r="G20" s="163"/>
      <c r="H20" s="162"/>
      <c r="I20" s="162"/>
      <c r="J20" s="162"/>
      <c r="K20" s="164"/>
    </row>
    <row r="21">
      <c r="A21" s="150" t="s">
        <v>10</v>
      </c>
      <c r="B21" s="151" t="s">
        <v>157</v>
      </c>
      <c r="C21" s="152" t="s">
        <v>158</v>
      </c>
      <c r="D21" s="151"/>
      <c r="E21" s="153" t="s">
        <v>81</v>
      </c>
      <c r="F21" s="153" t="s">
        <v>81</v>
      </c>
      <c r="G21" s="154" t="s">
        <v>81</v>
      </c>
      <c r="H21" s="121">
        <f>SUM(H22:H29)</f>
      </c>
      <c r="I21" s="121">
        <f>SUM(I22:I29)</f>
      </c>
      <c r="J21" s="121">
        <f>SUM(J22:J29)</f>
      </c>
      <c r="K21" s="155" t="s">
        <v>10</v>
      </c>
      <c r="AI21" s="135" t="s">
        <v>88</v>
      </c>
      <c r="AS21" s="121">
        <f>SUM(AJ22:AJ29)</f>
      </c>
      <c r="AT21" s="121">
        <f>SUM(AK22:AK29)</f>
      </c>
      <c r="AU21" s="121">
        <f>SUM(AL22:AL29)</f>
      </c>
    </row>
    <row r="22">
      <c r="A22" s="9" t="s">
        <v>159</v>
      </c>
      <c r="B22" s="10" t="s">
        <v>160</v>
      </c>
      <c r="C22" s="14" t="s">
        <v>161</v>
      </c>
      <c r="D22" s="10"/>
      <c r="E22" s="10" t="s">
        <v>133</v>
      </c>
      <c r="F22" s="114" t="n">
        <v>52</v>
      </c>
      <c r="G22" s="156" t="n">
        <v>0</v>
      </c>
      <c r="H22" s="114">
        <f>ROUND(F22*AO22,2)</f>
      </c>
      <c r="I22" s="114">
        <f>ROUND(F22*AP22,2)</f>
      </c>
      <c r="J22" s="114">
        <f>ROUND(F22*G22,2)</f>
      </c>
      <c r="K22" s="157" t="s">
        <v>134</v>
      </c>
      <c r="Z22" s="114">
        <f>ROUND(IF(AQ22="5",BJ22,0),2)</f>
      </c>
      <c r="AB22" s="114">
        <f>ROUND(IF(AQ22="1",BH22,0),2)</f>
      </c>
      <c r="AC22" s="114">
        <f>ROUND(IF(AQ22="1",BI22,0),2)</f>
      </c>
      <c r="AD22" s="114">
        <f>ROUND(IF(AQ22="7",BH22,0),2)</f>
      </c>
      <c r="AE22" s="114">
        <f>ROUND(IF(AQ22="7",BI22,0),2)</f>
      </c>
      <c r="AF22" s="114">
        <f>ROUND(IF(AQ22="2",BH22,0),2)</f>
      </c>
      <c r="AG22" s="114">
        <f>ROUND(IF(AQ22="2",BI22,0),2)</f>
      </c>
      <c r="AH22" s="114">
        <f>ROUND(IF(AQ22="0",BJ22,0),2)</f>
      </c>
      <c r="AI22" s="135" t="s">
        <v>88</v>
      </c>
      <c r="AJ22" s="114">
        <f>IF(AN22=0,J22,0)</f>
      </c>
      <c r="AK22" s="114">
        <f>IF(AN22=12,J22,0)</f>
      </c>
      <c r="AL22" s="114">
        <f>IF(AN22=21,J22,0)</f>
      </c>
      <c r="AN22" s="114" t="n">
        <v>21</v>
      </c>
      <c r="AO22" s="114">
        <f>G22*0.161148368</f>
      </c>
      <c r="AP22" s="114">
        <f>G22*(1-0.161148368)</f>
      </c>
      <c r="AQ22" s="158" t="s">
        <v>130</v>
      </c>
      <c r="AV22" s="114">
        <f>ROUND(AW22+AX22,2)</f>
      </c>
      <c r="AW22" s="114">
        <f>ROUND(F22*AO22,2)</f>
      </c>
      <c r="AX22" s="114">
        <f>ROUND(F22*AP22,2)</f>
      </c>
      <c r="AY22" s="158" t="s">
        <v>162</v>
      </c>
      <c r="AZ22" s="158" t="s">
        <v>136</v>
      </c>
      <c r="BA22" s="135" t="s">
        <v>137</v>
      </c>
      <c r="BC22" s="114">
        <f>AW22+AX22</f>
      </c>
      <c r="BD22" s="114">
        <f>G22/(100-BE22)*100</f>
      </c>
      <c r="BE22" s="114" t="n">
        <v>0</v>
      </c>
      <c r="BF22" s="114">
        <f>22</f>
      </c>
      <c r="BH22" s="114">
        <f>F22*AO22</f>
      </c>
      <c r="BI22" s="114">
        <f>F22*AP22</f>
      </c>
      <c r="BJ22" s="114">
        <f>F22*G22</f>
      </c>
      <c r="BK22" s="158" t="s">
        <v>138</v>
      </c>
      <c r="BL22" s="114" t="n">
        <v>18</v>
      </c>
      <c r="BW22" s="114" t="n">
        <v>21</v>
      </c>
      <c r="BX22" s="14" t="s">
        <v>161</v>
      </c>
    </row>
    <row r="23">
      <c r="A23" s="9" t="s">
        <v>163</v>
      </c>
      <c r="B23" s="10" t="s">
        <v>164</v>
      </c>
      <c r="C23" s="14" t="s">
        <v>165</v>
      </c>
      <c r="D23" s="10"/>
      <c r="E23" s="10" t="s">
        <v>133</v>
      </c>
      <c r="F23" s="114" t="n">
        <v>52</v>
      </c>
      <c r="G23" s="156" t="n">
        <v>0</v>
      </c>
      <c r="H23" s="114">
        <f>ROUND(F23*AO23,2)</f>
      </c>
      <c r="I23" s="114">
        <f>ROUND(F23*AP23,2)</f>
      </c>
      <c r="J23" s="114">
        <f>ROUND(F23*G23,2)</f>
      </c>
      <c r="K23" s="157" t="s">
        <v>134</v>
      </c>
      <c r="Z23" s="114">
        <f>ROUND(IF(AQ23="5",BJ23,0),2)</f>
      </c>
      <c r="AB23" s="114">
        <f>ROUND(IF(AQ23="1",BH23,0),2)</f>
      </c>
      <c r="AC23" s="114">
        <f>ROUND(IF(AQ23="1",BI23,0),2)</f>
      </c>
      <c r="AD23" s="114">
        <f>ROUND(IF(AQ23="7",BH23,0),2)</f>
      </c>
      <c r="AE23" s="114">
        <f>ROUND(IF(AQ23="7",BI23,0),2)</f>
      </c>
      <c r="AF23" s="114">
        <f>ROUND(IF(AQ23="2",BH23,0),2)</f>
      </c>
      <c r="AG23" s="114">
        <f>ROUND(IF(AQ23="2",BI23,0),2)</f>
      </c>
      <c r="AH23" s="114">
        <f>ROUND(IF(AQ23="0",BJ23,0),2)</f>
      </c>
      <c r="AI23" s="135" t="s">
        <v>88</v>
      </c>
      <c r="AJ23" s="114">
        <f>IF(AN23=0,J23,0)</f>
      </c>
      <c r="AK23" s="114">
        <f>IF(AN23=12,J23,0)</f>
      </c>
      <c r="AL23" s="114">
        <f>IF(AN23=21,J23,0)</f>
      </c>
      <c r="AN23" s="114" t="n">
        <v>21</v>
      </c>
      <c r="AO23" s="114">
        <f>G23*0</f>
      </c>
      <c r="AP23" s="114">
        <f>G23*(1-0)</f>
      </c>
      <c r="AQ23" s="158" t="s">
        <v>130</v>
      </c>
      <c r="AV23" s="114">
        <f>ROUND(AW23+AX23,2)</f>
      </c>
      <c r="AW23" s="114">
        <f>ROUND(F23*AO23,2)</f>
      </c>
      <c r="AX23" s="114">
        <f>ROUND(F23*AP23,2)</f>
      </c>
      <c r="AY23" s="158" t="s">
        <v>162</v>
      </c>
      <c r="AZ23" s="158" t="s">
        <v>136</v>
      </c>
      <c r="BA23" s="135" t="s">
        <v>137</v>
      </c>
      <c r="BC23" s="114">
        <f>AW23+AX23</f>
      </c>
      <c r="BD23" s="114">
        <f>G23/(100-BE23)*100</f>
      </c>
      <c r="BE23" s="114" t="n">
        <v>0</v>
      </c>
      <c r="BF23" s="114">
        <f>23</f>
      </c>
      <c r="BH23" s="114">
        <f>F23*AO23</f>
      </c>
      <c r="BI23" s="114">
        <f>F23*AP23</f>
      </c>
      <c r="BJ23" s="114">
        <f>F23*G23</f>
      </c>
      <c r="BK23" s="158" t="s">
        <v>138</v>
      </c>
      <c r="BL23" s="114" t="n">
        <v>18</v>
      </c>
      <c r="BW23" s="114" t="n">
        <v>21</v>
      </c>
      <c r="BX23" s="14" t="s">
        <v>165</v>
      </c>
    </row>
    <row r="24">
      <c r="A24" s="9" t="s">
        <v>166</v>
      </c>
      <c r="B24" s="10" t="s">
        <v>167</v>
      </c>
      <c r="C24" s="14" t="s">
        <v>168</v>
      </c>
      <c r="D24" s="10"/>
      <c r="E24" s="10" t="s">
        <v>133</v>
      </c>
      <c r="F24" s="114" t="n">
        <v>305</v>
      </c>
      <c r="G24" s="156" t="n">
        <v>0</v>
      </c>
      <c r="H24" s="114">
        <f>ROUND(F24*AO24,2)</f>
      </c>
      <c r="I24" s="114">
        <f>ROUND(F24*AP24,2)</f>
      </c>
      <c r="J24" s="114">
        <f>ROUND(F24*G24,2)</f>
      </c>
      <c r="K24" s="157" t="s">
        <v>134</v>
      </c>
      <c r="Z24" s="114">
        <f>ROUND(IF(AQ24="5",BJ24,0),2)</f>
      </c>
      <c r="AB24" s="114">
        <f>ROUND(IF(AQ24="1",BH24,0),2)</f>
      </c>
      <c r="AC24" s="114">
        <f>ROUND(IF(AQ24="1",BI24,0),2)</f>
      </c>
      <c r="AD24" s="114">
        <f>ROUND(IF(AQ24="7",BH24,0),2)</f>
      </c>
      <c r="AE24" s="114">
        <f>ROUND(IF(AQ24="7",BI24,0),2)</f>
      </c>
      <c r="AF24" s="114">
        <f>ROUND(IF(AQ24="2",BH24,0),2)</f>
      </c>
      <c r="AG24" s="114">
        <f>ROUND(IF(AQ24="2",BI24,0),2)</f>
      </c>
      <c r="AH24" s="114">
        <f>ROUND(IF(AQ24="0",BJ24,0),2)</f>
      </c>
      <c r="AI24" s="135" t="s">
        <v>88</v>
      </c>
      <c r="AJ24" s="114">
        <f>IF(AN24=0,J24,0)</f>
      </c>
      <c r="AK24" s="114">
        <f>IF(AN24=12,J24,0)</f>
      </c>
      <c r="AL24" s="114">
        <f>IF(AN24=21,J24,0)</f>
      </c>
      <c r="AN24" s="114" t="n">
        <v>21</v>
      </c>
      <c r="AO24" s="114">
        <f>G24*0.0449829</f>
      </c>
      <c r="AP24" s="114">
        <f>G24*(1-0.0449829)</f>
      </c>
      <c r="AQ24" s="158" t="s">
        <v>130</v>
      </c>
      <c r="AV24" s="114">
        <f>ROUND(AW24+AX24,2)</f>
      </c>
      <c r="AW24" s="114">
        <f>ROUND(F24*AO24,2)</f>
      </c>
      <c r="AX24" s="114">
        <f>ROUND(F24*AP24,2)</f>
      </c>
      <c r="AY24" s="158" t="s">
        <v>162</v>
      </c>
      <c r="AZ24" s="158" t="s">
        <v>136</v>
      </c>
      <c r="BA24" s="135" t="s">
        <v>137</v>
      </c>
      <c r="BC24" s="114">
        <f>AW24+AX24</f>
      </c>
      <c r="BD24" s="114">
        <f>G24/(100-BE24)*100</f>
      </c>
      <c r="BE24" s="114" t="n">
        <v>0</v>
      </c>
      <c r="BF24" s="114">
        <f>24</f>
      </c>
      <c r="BH24" s="114">
        <f>F24*AO24</f>
      </c>
      <c r="BI24" s="114">
        <f>F24*AP24</f>
      </c>
      <c r="BJ24" s="114">
        <f>F24*G24</f>
      </c>
      <c r="BK24" s="158" t="s">
        <v>138</v>
      </c>
      <c r="BL24" s="114" t="n">
        <v>18</v>
      </c>
      <c r="BW24" s="114" t="n">
        <v>21</v>
      </c>
      <c r="BX24" s="14" t="s">
        <v>168</v>
      </c>
    </row>
    <row r="25" customHeight="true" ht="13.5">
      <c r="A25" s="159"/>
      <c r="B25" s="160" t="s">
        <v>155</v>
      </c>
      <c r="C25" s="161" t="s">
        <v>169</v>
      </c>
      <c r="D25" s="162"/>
      <c r="E25" s="162"/>
      <c r="F25" s="162"/>
      <c r="G25" s="163"/>
      <c r="H25" s="162"/>
      <c r="I25" s="162"/>
      <c r="J25" s="162"/>
      <c r="K25" s="164"/>
    </row>
    <row r="26">
      <c r="A26" s="9" t="s">
        <v>170</v>
      </c>
      <c r="B26" s="10" t="s">
        <v>171</v>
      </c>
      <c r="C26" s="14" t="s">
        <v>172</v>
      </c>
      <c r="D26" s="10"/>
      <c r="E26" s="10" t="s">
        <v>133</v>
      </c>
      <c r="F26" s="114" t="n">
        <v>305</v>
      </c>
      <c r="G26" s="156" t="n">
        <v>0</v>
      </c>
      <c r="H26" s="114">
        <f>ROUND(F26*AO26,2)</f>
      </c>
      <c r="I26" s="114">
        <f>ROUND(F26*AP26,2)</f>
      </c>
      <c r="J26" s="114">
        <f>ROUND(F26*G26,2)</f>
      </c>
      <c r="K26" s="157" t="s">
        <v>134</v>
      </c>
      <c r="Z26" s="114">
        <f>ROUND(IF(AQ26="5",BJ26,0),2)</f>
      </c>
      <c r="AB26" s="114">
        <f>ROUND(IF(AQ26="1",BH26,0),2)</f>
      </c>
      <c r="AC26" s="114">
        <f>ROUND(IF(AQ26="1",BI26,0),2)</f>
      </c>
      <c r="AD26" s="114">
        <f>ROUND(IF(AQ26="7",BH26,0),2)</f>
      </c>
      <c r="AE26" s="114">
        <f>ROUND(IF(AQ26="7",BI26,0),2)</f>
      </c>
      <c r="AF26" s="114">
        <f>ROUND(IF(AQ26="2",BH26,0),2)</f>
      </c>
      <c r="AG26" s="114">
        <f>ROUND(IF(AQ26="2",BI26,0),2)</f>
      </c>
      <c r="AH26" s="114">
        <f>ROUND(IF(AQ26="0",BJ26,0),2)</f>
      </c>
      <c r="AI26" s="135" t="s">
        <v>88</v>
      </c>
      <c r="AJ26" s="114">
        <f>IF(AN26=0,J26,0)</f>
      </c>
      <c r="AK26" s="114">
        <f>IF(AN26=12,J26,0)</f>
      </c>
      <c r="AL26" s="114">
        <f>IF(AN26=21,J26,0)</f>
      </c>
      <c r="AN26" s="114" t="n">
        <v>21</v>
      </c>
      <c r="AO26" s="114">
        <f>G26*0.178571429</f>
      </c>
      <c r="AP26" s="114">
        <f>G26*(1-0.178571429)</f>
      </c>
      <c r="AQ26" s="158" t="s">
        <v>130</v>
      </c>
      <c r="AV26" s="114">
        <f>ROUND(AW26+AX26,2)</f>
      </c>
      <c r="AW26" s="114">
        <f>ROUND(F26*AO26,2)</f>
      </c>
      <c r="AX26" s="114">
        <f>ROUND(F26*AP26,2)</f>
      </c>
      <c r="AY26" s="158" t="s">
        <v>162</v>
      </c>
      <c r="AZ26" s="158" t="s">
        <v>136</v>
      </c>
      <c r="BA26" s="135" t="s">
        <v>137</v>
      </c>
      <c r="BC26" s="114">
        <f>AW26+AX26</f>
      </c>
      <c r="BD26" s="114">
        <f>G26/(100-BE26)*100</f>
      </c>
      <c r="BE26" s="114" t="n">
        <v>0</v>
      </c>
      <c r="BF26" s="114">
        <f>26</f>
      </c>
      <c r="BH26" s="114">
        <f>F26*AO26</f>
      </c>
      <c r="BI26" s="114">
        <f>F26*AP26</f>
      </c>
      <c r="BJ26" s="114">
        <f>F26*G26</f>
      </c>
      <c r="BK26" s="158" t="s">
        <v>138</v>
      </c>
      <c r="BL26" s="114" t="n">
        <v>18</v>
      </c>
      <c r="BW26" s="114" t="n">
        <v>21</v>
      </c>
      <c r="BX26" s="14" t="s">
        <v>172</v>
      </c>
    </row>
    <row r="27">
      <c r="A27" s="9" t="s">
        <v>173</v>
      </c>
      <c r="B27" s="10" t="s">
        <v>174</v>
      </c>
      <c r="C27" s="14" t="s">
        <v>175</v>
      </c>
      <c r="D27" s="10"/>
      <c r="E27" s="10" t="s">
        <v>133</v>
      </c>
      <c r="F27" s="114" t="n">
        <v>131.66667</v>
      </c>
      <c r="G27" s="156" t="n">
        <v>0</v>
      </c>
      <c r="H27" s="114">
        <f>ROUND(F27*AO27,2)</f>
      </c>
      <c r="I27" s="114">
        <f>ROUND(F27*AP27,2)</f>
      </c>
      <c r="J27" s="114">
        <f>ROUND(F27*G27,2)</f>
      </c>
      <c r="K27" s="157" t="s">
        <v>134</v>
      </c>
      <c r="Z27" s="114">
        <f>ROUND(IF(AQ27="5",BJ27,0),2)</f>
      </c>
      <c r="AB27" s="114">
        <f>ROUND(IF(AQ27="1",BH27,0),2)</f>
      </c>
      <c r="AC27" s="114">
        <f>ROUND(IF(AQ27="1",BI27,0),2)</f>
      </c>
      <c r="AD27" s="114">
        <f>ROUND(IF(AQ27="7",BH27,0),2)</f>
      </c>
      <c r="AE27" s="114">
        <f>ROUND(IF(AQ27="7",BI27,0),2)</f>
      </c>
      <c r="AF27" s="114">
        <f>ROUND(IF(AQ27="2",BH27,0),2)</f>
      </c>
      <c r="AG27" s="114">
        <f>ROUND(IF(AQ27="2",BI27,0),2)</f>
      </c>
      <c r="AH27" s="114">
        <f>ROUND(IF(AQ27="0",BJ27,0),2)</f>
      </c>
      <c r="AI27" s="135" t="s">
        <v>88</v>
      </c>
      <c r="AJ27" s="114">
        <f>IF(AN27=0,J27,0)</f>
      </c>
      <c r="AK27" s="114">
        <f>IF(AN27=12,J27,0)</f>
      </c>
      <c r="AL27" s="114">
        <f>IF(AN27=21,J27,0)</f>
      </c>
      <c r="AN27" s="114" t="n">
        <v>21</v>
      </c>
      <c r="AO27" s="114">
        <f>G27*0</f>
      </c>
      <c r="AP27" s="114">
        <f>G27*(1-0)</f>
      </c>
      <c r="AQ27" s="158" t="s">
        <v>130</v>
      </c>
      <c r="AV27" s="114">
        <f>ROUND(AW27+AX27,2)</f>
      </c>
      <c r="AW27" s="114">
        <f>ROUND(F27*AO27,2)</f>
      </c>
      <c r="AX27" s="114">
        <f>ROUND(F27*AP27,2)</f>
      </c>
      <c r="AY27" s="158" t="s">
        <v>162</v>
      </c>
      <c r="AZ27" s="158" t="s">
        <v>136</v>
      </c>
      <c r="BA27" s="135" t="s">
        <v>137</v>
      </c>
      <c r="BC27" s="114">
        <f>AW27+AX27</f>
      </c>
      <c r="BD27" s="114">
        <f>G27/(100-BE27)*100</f>
      </c>
      <c r="BE27" s="114" t="n">
        <v>0</v>
      </c>
      <c r="BF27" s="114">
        <f>27</f>
      </c>
      <c r="BH27" s="114">
        <f>F27*AO27</f>
      </c>
      <c r="BI27" s="114">
        <f>F27*AP27</f>
      </c>
      <c r="BJ27" s="114">
        <f>F27*G27</f>
      </c>
      <c r="BK27" s="158" t="s">
        <v>138</v>
      </c>
      <c r="BL27" s="114" t="n">
        <v>18</v>
      </c>
      <c r="BW27" s="114" t="n">
        <v>21</v>
      </c>
      <c r="BX27" s="14" t="s">
        <v>175</v>
      </c>
    </row>
    <row r="28">
      <c r="A28" s="9" t="s">
        <v>128</v>
      </c>
      <c r="B28" s="10" t="s">
        <v>176</v>
      </c>
      <c r="C28" s="14" t="s">
        <v>177</v>
      </c>
      <c r="D28" s="10"/>
      <c r="E28" s="10" t="s">
        <v>133</v>
      </c>
      <c r="F28" s="114" t="n">
        <v>305</v>
      </c>
      <c r="G28" s="156" t="n">
        <v>0</v>
      </c>
      <c r="H28" s="114">
        <f>ROUND(F28*AO28,2)</f>
      </c>
      <c r="I28" s="114">
        <f>ROUND(F28*AP28,2)</f>
      </c>
      <c r="J28" s="114">
        <f>ROUND(F28*G28,2)</f>
      </c>
      <c r="K28" s="157" t="s">
        <v>134</v>
      </c>
      <c r="Z28" s="114">
        <f>ROUND(IF(AQ28="5",BJ28,0),2)</f>
      </c>
      <c r="AB28" s="114">
        <f>ROUND(IF(AQ28="1",BH28,0),2)</f>
      </c>
      <c r="AC28" s="114">
        <f>ROUND(IF(AQ28="1",BI28,0),2)</f>
      </c>
      <c r="AD28" s="114">
        <f>ROUND(IF(AQ28="7",BH28,0),2)</f>
      </c>
      <c r="AE28" s="114">
        <f>ROUND(IF(AQ28="7",BI28,0),2)</f>
      </c>
      <c r="AF28" s="114">
        <f>ROUND(IF(AQ28="2",BH28,0),2)</f>
      </c>
      <c r="AG28" s="114">
        <f>ROUND(IF(AQ28="2",BI28,0),2)</f>
      </c>
      <c r="AH28" s="114">
        <f>ROUND(IF(AQ28="0",BJ28,0),2)</f>
      </c>
      <c r="AI28" s="135" t="s">
        <v>88</v>
      </c>
      <c r="AJ28" s="114">
        <f>IF(AN28=0,J28,0)</f>
      </c>
      <c r="AK28" s="114">
        <f>IF(AN28=12,J28,0)</f>
      </c>
      <c r="AL28" s="114">
        <f>IF(AN28=21,J28,0)</f>
      </c>
      <c r="AN28" s="114" t="n">
        <v>21</v>
      </c>
      <c r="AO28" s="114">
        <f>G28*0</f>
      </c>
      <c r="AP28" s="114">
        <f>G28*(1-0)</f>
      </c>
      <c r="AQ28" s="158" t="s">
        <v>130</v>
      </c>
      <c r="AV28" s="114">
        <f>ROUND(AW28+AX28,2)</f>
      </c>
      <c r="AW28" s="114">
        <f>ROUND(F28*AO28,2)</f>
      </c>
      <c r="AX28" s="114">
        <f>ROUND(F28*AP28,2)</f>
      </c>
      <c r="AY28" s="158" t="s">
        <v>162</v>
      </c>
      <c r="AZ28" s="158" t="s">
        <v>136</v>
      </c>
      <c r="BA28" s="135" t="s">
        <v>137</v>
      </c>
      <c r="BC28" s="114">
        <f>AW28+AX28</f>
      </c>
      <c r="BD28" s="114">
        <f>G28/(100-BE28)*100</f>
      </c>
      <c r="BE28" s="114" t="n">
        <v>0</v>
      </c>
      <c r="BF28" s="114">
        <f>28</f>
      </c>
      <c r="BH28" s="114">
        <f>F28*AO28</f>
      </c>
      <c r="BI28" s="114">
        <f>F28*AP28</f>
      </c>
      <c r="BJ28" s="114">
        <f>F28*G28</f>
      </c>
      <c r="BK28" s="158" t="s">
        <v>138</v>
      </c>
      <c r="BL28" s="114" t="n">
        <v>18</v>
      </c>
      <c r="BW28" s="114" t="n">
        <v>21</v>
      </c>
      <c r="BX28" s="14" t="s">
        <v>177</v>
      </c>
    </row>
    <row r="29">
      <c r="A29" s="9" t="s">
        <v>148</v>
      </c>
      <c r="B29" s="10" t="s">
        <v>178</v>
      </c>
      <c r="C29" s="14" t="s">
        <v>179</v>
      </c>
      <c r="D29" s="10"/>
      <c r="E29" s="10" t="s">
        <v>153</v>
      </c>
      <c r="F29" s="114" t="n">
        <v>39.466</v>
      </c>
      <c r="G29" s="156" t="n">
        <v>0</v>
      </c>
      <c r="H29" s="114">
        <f>ROUND(F29*AO29,2)</f>
      </c>
      <c r="I29" s="114">
        <f>ROUND(F29*AP29,2)</f>
      </c>
      <c r="J29" s="114">
        <f>ROUND(F29*G29,2)</f>
      </c>
      <c r="K29" s="157" t="s">
        <v>134</v>
      </c>
      <c r="Z29" s="114">
        <f>ROUND(IF(AQ29="5",BJ29,0),2)</f>
      </c>
      <c r="AB29" s="114">
        <f>ROUND(IF(AQ29="1",BH29,0),2)</f>
      </c>
      <c r="AC29" s="114">
        <f>ROUND(IF(AQ29="1",BI29,0),2)</f>
      </c>
      <c r="AD29" s="114">
        <f>ROUND(IF(AQ29="7",BH29,0),2)</f>
      </c>
      <c r="AE29" s="114">
        <f>ROUND(IF(AQ29="7",BI29,0),2)</f>
      </c>
      <c r="AF29" s="114">
        <f>ROUND(IF(AQ29="2",BH29,0),2)</f>
      </c>
      <c r="AG29" s="114">
        <f>ROUND(IF(AQ29="2",BI29,0),2)</f>
      </c>
      <c r="AH29" s="114">
        <f>ROUND(IF(AQ29="0",BJ29,0),2)</f>
      </c>
      <c r="AI29" s="135" t="s">
        <v>88</v>
      </c>
      <c r="AJ29" s="114">
        <f>IF(AN29=0,J29,0)</f>
      </c>
      <c r="AK29" s="114">
        <f>IF(AN29=12,J29,0)</f>
      </c>
      <c r="AL29" s="114">
        <f>IF(AN29=21,J29,0)</f>
      </c>
      <c r="AN29" s="114" t="n">
        <v>21</v>
      </c>
      <c r="AO29" s="114">
        <f>G29*0.094631072</f>
      </c>
      <c r="AP29" s="114">
        <f>G29*(1-0.094631072)</f>
      </c>
      <c r="AQ29" s="158" t="s">
        <v>130</v>
      </c>
      <c r="AV29" s="114">
        <f>ROUND(AW29+AX29,2)</f>
      </c>
      <c r="AW29" s="114">
        <f>ROUND(F29*AO29,2)</f>
      </c>
      <c r="AX29" s="114">
        <f>ROUND(F29*AP29,2)</f>
      </c>
      <c r="AY29" s="158" t="s">
        <v>162</v>
      </c>
      <c r="AZ29" s="158" t="s">
        <v>136</v>
      </c>
      <c r="BA29" s="135" t="s">
        <v>137</v>
      </c>
      <c r="BC29" s="114">
        <f>AW29+AX29</f>
      </c>
      <c r="BD29" s="114">
        <f>G29/(100-BE29)*100</f>
      </c>
      <c r="BE29" s="114" t="n">
        <v>0</v>
      </c>
      <c r="BF29" s="114">
        <f>29</f>
      </c>
      <c r="BH29" s="114">
        <f>F29*AO29</f>
      </c>
      <c r="BI29" s="114">
        <f>F29*AP29</f>
      </c>
      <c r="BJ29" s="114">
        <f>F29*G29</f>
      </c>
      <c r="BK29" s="158" t="s">
        <v>138</v>
      </c>
      <c r="BL29" s="114" t="n">
        <v>18</v>
      </c>
      <c r="BW29" s="114" t="n">
        <v>21</v>
      </c>
      <c r="BX29" s="14" t="s">
        <v>179</v>
      </c>
    </row>
    <row r="30">
      <c r="A30" s="150" t="s">
        <v>10</v>
      </c>
      <c r="B30" s="151" t="s">
        <v>180</v>
      </c>
      <c r="C30" s="152" t="s">
        <v>181</v>
      </c>
      <c r="D30" s="151"/>
      <c r="E30" s="153" t="s">
        <v>81</v>
      </c>
      <c r="F30" s="153" t="s">
        <v>81</v>
      </c>
      <c r="G30" s="154" t="s">
        <v>81</v>
      </c>
      <c r="H30" s="121">
        <f>SUM(H31:H35)</f>
      </c>
      <c r="I30" s="121">
        <f>SUM(I31:I35)</f>
      </c>
      <c r="J30" s="121">
        <f>SUM(J31:J35)</f>
      </c>
      <c r="K30" s="155" t="s">
        <v>10</v>
      </c>
      <c r="AI30" s="135" t="s">
        <v>88</v>
      </c>
      <c r="AS30" s="121">
        <f>SUM(AJ31:AJ35)</f>
      </c>
      <c r="AT30" s="121">
        <f>SUM(AK31:AK35)</f>
      </c>
      <c r="AU30" s="121">
        <f>SUM(AL31:AL35)</f>
      </c>
    </row>
    <row r="31">
      <c r="A31" s="9" t="s">
        <v>182</v>
      </c>
      <c r="B31" s="10" t="s">
        <v>183</v>
      </c>
      <c r="C31" s="14" t="s">
        <v>184</v>
      </c>
      <c r="D31" s="10"/>
      <c r="E31" s="10" t="s">
        <v>133</v>
      </c>
      <c r="F31" s="114" t="n">
        <v>38.845</v>
      </c>
      <c r="G31" s="156" t="n">
        <v>0</v>
      </c>
      <c r="H31" s="114">
        <f>ROUND(F31*AO31,2)</f>
      </c>
      <c r="I31" s="114">
        <f>ROUND(F31*AP31,2)</f>
      </c>
      <c r="J31" s="114">
        <f>ROUND(F31*G31,2)</f>
      </c>
      <c r="K31" s="157" t="s">
        <v>134</v>
      </c>
      <c r="Z31" s="114">
        <f>ROUND(IF(AQ31="5",BJ31,0),2)</f>
      </c>
      <c r="AB31" s="114">
        <f>ROUND(IF(AQ31="1",BH31,0),2)</f>
      </c>
      <c r="AC31" s="114">
        <f>ROUND(IF(AQ31="1",BI31,0),2)</f>
      </c>
      <c r="AD31" s="114">
        <f>ROUND(IF(AQ31="7",BH31,0),2)</f>
      </c>
      <c r="AE31" s="114">
        <f>ROUND(IF(AQ31="7",BI31,0),2)</f>
      </c>
      <c r="AF31" s="114">
        <f>ROUND(IF(AQ31="2",BH31,0),2)</f>
      </c>
      <c r="AG31" s="114">
        <f>ROUND(IF(AQ31="2",BI31,0),2)</f>
      </c>
      <c r="AH31" s="114">
        <f>ROUND(IF(AQ31="0",BJ31,0),2)</f>
      </c>
      <c r="AI31" s="135" t="s">
        <v>88</v>
      </c>
      <c r="AJ31" s="114">
        <f>IF(AN31=0,J31,0)</f>
      </c>
      <c r="AK31" s="114">
        <f>IF(AN31=12,J31,0)</f>
      </c>
      <c r="AL31" s="114">
        <f>IF(AN31=21,J31,0)</f>
      </c>
      <c r="AN31" s="114" t="n">
        <v>21</v>
      </c>
      <c r="AO31" s="114">
        <f>G31*0</f>
      </c>
      <c r="AP31" s="114">
        <f>G31*(1-0)</f>
      </c>
      <c r="AQ31" s="158" t="s">
        <v>130</v>
      </c>
      <c r="AV31" s="114">
        <f>ROUND(AW31+AX31,2)</f>
      </c>
      <c r="AW31" s="114">
        <f>ROUND(F31*AO31,2)</f>
      </c>
      <c r="AX31" s="114">
        <f>ROUND(F31*AP31,2)</f>
      </c>
      <c r="AY31" s="158" t="s">
        <v>185</v>
      </c>
      <c r="AZ31" s="158" t="s">
        <v>186</v>
      </c>
      <c r="BA31" s="135" t="s">
        <v>137</v>
      </c>
      <c r="BC31" s="114">
        <f>AW31+AX31</f>
      </c>
      <c r="BD31" s="114">
        <f>G31/(100-BE31)*100</f>
      </c>
      <c r="BE31" s="114" t="n">
        <v>0</v>
      </c>
      <c r="BF31" s="114">
        <f>31</f>
      </c>
      <c r="BH31" s="114">
        <f>F31*AO31</f>
      </c>
      <c r="BI31" s="114">
        <f>F31*AP31</f>
      </c>
      <c r="BJ31" s="114">
        <f>F31*G31</f>
      </c>
      <c r="BK31" s="158" t="s">
        <v>138</v>
      </c>
      <c r="BL31" s="114" t="n">
        <v>27</v>
      </c>
      <c r="BW31" s="114" t="n">
        <v>21</v>
      </c>
      <c r="BX31" s="14" t="s">
        <v>184</v>
      </c>
    </row>
    <row r="32" customHeight="true" ht="13.5">
      <c r="A32" s="159"/>
      <c r="B32" s="160" t="s">
        <v>58</v>
      </c>
      <c r="C32" s="161" t="s">
        <v>187</v>
      </c>
      <c r="D32" s="162"/>
      <c r="E32" s="162"/>
      <c r="F32" s="162"/>
      <c r="G32" s="163"/>
      <c r="H32" s="162"/>
      <c r="I32" s="162"/>
      <c r="J32" s="162"/>
      <c r="K32" s="164"/>
    </row>
    <row r="33">
      <c r="A33" s="9" t="s">
        <v>188</v>
      </c>
      <c r="B33" s="10" t="s">
        <v>189</v>
      </c>
      <c r="C33" s="14" t="s">
        <v>190</v>
      </c>
      <c r="D33" s="10"/>
      <c r="E33" s="10" t="s">
        <v>133</v>
      </c>
      <c r="F33" s="114" t="n">
        <v>38.845</v>
      </c>
      <c r="G33" s="156" t="n">
        <v>0</v>
      </c>
      <c r="H33" s="114">
        <f>ROUND(F33*AO33,2)</f>
      </c>
      <c r="I33" s="114">
        <f>ROUND(F33*AP33,2)</f>
      </c>
      <c r="J33" s="114">
        <f>ROUND(F33*G33,2)</f>
      </c>
      <c r="K33" s="157" t="s">
        <v>134</v>
      </c>
      <c r="Z33" s="114">
        <f>ROUND(IF(AQ33="5",BJ33,0),2)</f>
      </c>
      <c r="AB33" s="114">
        <f>ROUND(IF(AQ33="1",BH33,0),2)</f>
      </c>
      <c r="AC33" s="114">
        <f>ROUND(IF(AQ33="1",BI33,0),2)</f>
      </c>
      <c r="AD33" s="114">
        <f>ROUND(IF(AQ33="7",BH33,0),2)</f>
      </c>
      <c r="AE33" s="114">
        <f>ROUND(IF(AQ33="7",BI33,0),2)</f>
      </c>
      <c r="AF33" s="114">
        <f>ROUND(IF(AQ33="2",BH33,0),2)</f>
      </c>
      <c r="AG33" s="114">
        <f>ROUND(IF(AQ33="2",BI33,0),2)</f>
      </c>
      <c r="AH33" s="114">
        <f>ROUND(IF(AQ33="0",BJ33,0),2)</f>
      </c>
      <c r="AI33" s="135" t="s">
        <v>88</v>
      </c>
      <c r="AJ33" s="114">
        <f>IF(AN33=0,J33,0)</f>
      </c>
      <c r="AK33" s="114">
        <f>IF(AN33=12,J33,0)</f>
      </c>
      <c r="AL33" s="114">
        <f>IF(AN33=21,J33,0)</f>
      </c>
      <c r="AN33" s="114" t="n">
        <v>21</v>
      </c>
      <c r="AO33" s="114">
        <f>G33*0</f>
      </c>
      <c r="AP33" s="114">
        <f>G33*(1-0)</f>
      </c>
      <c r="AQ33" s="158" t="s">
        <v>130</v>
      </c>
      <c r="AV33" s="114">
        <f>ROUND(AW33+AX33,2)</f>
      </c>
      <c r="AW33" s="114">
        <f>ROUND(F33*AO33,2)</f>
      </c>
      <c r="AX33" s="114">
        <f>ROUND(F33*AP33,2)</f>
      </c>
      <c r="AY33" s="158" t="s">
        <v>185</v>
      </c>
      <c r="AZ33" s="158" t="s">
        <v>186</v>
      </c>
      <c r="BA33" s="135" t="s">
        <v>137</v>
      </c>
      <c r="BC33" s="114">
        <f>AW33+AX33</f>
      </c>
      <c r="BD33" s="114">
        <f>G33/(100-BE33)*100</f>
      </c>
      <c r="BE33" s="114" t="n">
        <v>0</v>
      </c>
      <c r="BF33" s="114">
        <f>33</f>
      </c>
      <c r="BH33" s="114">
        <f>F33*AO33</f>
      </c>
      <c r="BI33" s="114">
        <f>F33*AP33</f>
      </c>
      <c r="BJ33" s="114">
        <f>F33*G33</f>
      </c>
      <c r="BK33" s="158" t="s">
        <v>138</v>
      </c>
      <c r="BL33" s="114" t="n">
        <v>27</v>
      </c>
      <c r="BW33" s="114" t="n">
        <v>21</v>
      </c>
      <c r="BX33" s="14" t="s">
        <v>190</v>
      </c>
    </row>
    <row r="34" customHeight="true" ht="13.5">
      <c r="A34" s="159"/>
      <c r="B34" s="160" t="s">
        <v>58</v>
      </c>
      <c r="C34" s="161" t="s">
        <v>187</v>
      </c>
      <c r="D34" s="162"/>
      <c r="E34" s="162"/>
      <c r="F34" s="162"/>
      <c r="G34" s="163"/>
      <c r="H34" s="162"/>
      <c r="I34" s="162"/>
      <c r="J34" s="162"/>
      <c r="K34" s="164"/>
    </row>
    <row r="35">
      <c r="A35" s="9" t="s">
        <v>191</v>
      </c>
      <c r="B35" s="10" t="s">
        <v>192</v>
      </c>
      <c r="C35" s="14" t="s">
        <v>193</v>
      </c>
      <c r="D35" s="10"/>
      <c r="E35" s="10" t="s">
        <v>153</v>
      </c>
      <c r="F35" s="114" t="n">
        <v>2</v>
      </c>
      <c r="G35" s="156" t="n">
        <v>0</v>
      </c>
      <c r="H35" s="114">
        <f>ROUND(F35*AO35,2)</f>
      </c>
      <c r="I35" s="114">
        <f>ROUND(F35*AP35,2)</f>
      </c>
      <c r="J35" s="114">
        <f>ROUND(F35*G35,2)</f>
      </c>
      <c r="K35" s="157" t="s">
        <v>134</v>
      </c>
      <c r="Z35" s="114">
        <f>ROUND(IF(AQ35="5",BJ35,0),2)</f>
      </c>
      <c r="AB35" s="114">
        <f>ROUND(IF(AQ35="1",BH35,0),2)</f>
      </c>
      <c r="AC35" s="114">
        <f>ROUND(IF(AQ35="1",BI35,0),2)</f>
      </c>
      <c r="AD35" s="114">
        <f>ROUND(IF(AQ35="7",BH35,0),2)</f>
      </c>
      <c r="AE35" s="114">
        <f>ROUND(IF(AQ35="7",BI35,0),2)</f>
      </c>
      <c r="AF35" s="114">
        <f>ROUND(IF(AQ35="2",BH35,0),2)</f>
      </c>
      <c r="AG35" s="114">
        <f>ROUND(IF(AQ35="2",BI35,0),2)</f>
      </c>
      <c r="AH35" s="114">
        <f>ROUND(IF(AQ35="0",BJ35,0),2)</f>
      </c>
      <c r="AI35" s="135" t="s">
        <v>88</v>
      </c>
      <c r="AJ35" s="114">
        <f>IF(AN35=0,J35,0)</f>
      </c>
      <c r="AK35" s="114">
        <f>IF(AN35=12,J35,0)</f>
      </c>
      <c r="AL35" s="114">
        <f>IF(AN35=21,J35,0)</f>
      </c>
      <c r="AN35" s="114" t="n">
        <v>21</v>
      </c>
      <c r="AO35" s="114">
        <f>G35*0.890839047</f>
      </c>
      <c r="AP35" s="114">
        <f>G35*(1-0.890839047)</f>
      </c>
      <c r="AQ35" s="158" t="s">
        <v>130</v>
      </c>
      <c r="AV35" s="114">
        <f>ROUND(AW35+AX35,2)</f>
      </c>
      <c r="AW35" s="114">
        <f>ROUND(F35*AO35,2)</f>
      </c>
      <c r="AX35" s="114">
        <f>ROUND(F35*AP35,2)</f>
      </c>
      <c r="AY35" s="158" t="s">
        <v>185</v>
      </c>
      <c r="AZ35" s="158" t="s">
        <v>186</v>
      </c>
      <c r="BA35" s="135" t="s">
        <v>137</v>
      </c>
      <c r="BC35" s="114">
        <f>AW35+AX35</f>
      </c>
      <c r="BD35" s="114">
        <f>G35/(100-BE35)*100</f>
      </c>
      <c r="BE35" s="114" t="n">
        <v>0</v>
      </c>
      <c r="BF35" s="114">
        <f>35</f>
      </c>
      <c r="BH35" s="114">
        <f>F35*AO35</f>
      </c>
      <c r="BI35" s="114">
        <f>F35*AP35</f>
      </c>
      <c r="BJ35" s="114">
        <f>F35*G35</f>
      </c>
      <c r="BK35" s="158" t="s">
        <v>138</v>
      </c>
      <c r="BL35" s="114" t="n">
        <v>27</v>
      </c>
      <c r="BW35" s="114" t="n">
        <v>21</v>
      </c>
      <c r="BX35" s="14" t="s">
        <v>193</v>
      </c>
    </row>
    <row r="36" customHeight="true" ht="13.5">
      <c r="A36" s="159"/>
      <c r="B36" s="160" t="s">
        <v>155</v>
      </c>
      <c r="C36" s="161" t="s">
        <v>194</v>
      </c>
      <c r="D36" s="162"/>
      <c r="E36" s="162"/>
      <c r="F36" s="162"/>
      <c r="G36" s="163"/>
      <c r="H36" s="162"/>
      <c r="I36" s="162"/>
      <c r="J36" s="162"/>
      <c r="K36" s="164"/>
    </row>
    <row r="37">
      <c r="A37" s="150" t="s">
        <v>10</v>
      </c>
      <c r="B37" s="151" t="s">
        <v>195</v>
      </c>
      <c r="C37" s="152" t="s">
        <v>196</v>
      </c>
      <c r="D37" s="151"/>
      <c r="E37" s="153" t="s">
        <v>81</v>
      </c>
      <c r="F37" s="153" t="s">
        <v>81</v>
      </c>
      <c r="G37" s="154" t="s">
        <v>81</v>
      </c>
      <c r="H37" s="121">
        <f>SUM(H38:H38)</f>
      </c>
      <c r="I37" s="121">
        <f>SUM(I38:I38)</f>
      </c>
      <c r="J37" s="121">
        <f>SUM(J38:J38)</f>
      </c>
      <c r="K37" s="155" t="s">
        <v>10</v>
      </c>
      <c r="AI37" s="135" t="s">
        <v>88</v>
      </c>
      <c r="AS37" s="121">
        <f>SUM(AJ38:AJ38)</f>
      </c>
      <c r="AT37" s="121">
        <f>SUM(AK38:AK38)</f>
      </c>
      <c r="AU37" s="121">
        <f>SUM(AL38:AL38)</f>
      </c>
    </row>
    <row r="38">
      <c r="A38" s="9" t="s">
        <v>197</v>
      </c>
      <c r="B38" s="10" t="s">
        <v>198</v>
      </c>
      <c r="C38" s="14" t="s">
        <v>199</v>
      </c>
      <c r="D38" s="10"/>
      <c r="E38" s="10" t="s">
        <v>133</v>
      </c>
      <c r="F38" s="114" t="n">
        <v>124</v>
      </c>
      <c r="G38" s="156" t="n">
        <v>0</v>
      </c>
      <c r="H38" s="114">
        <f>ROUND(F38*AO38,2)</f>
      </c>
      <c r="I38" s="114">
        <f>ROUND(F38*AP38,2)</f>
      </c>
      <c r="J38" s="114">
        <f>ROUND(F38*G38,2)</f>
      </c>
      <c r="K38" s="157" t="s">
        <v>134</v>
      </c>
      <c r="Z38" s="114">
        <f>ROUND(IF(AQ38="5",BJ38,0),2)</f>
      </c>
      <c r="AB38" s="114">
        <f>ROUND(IF(AQ38="1",BH38,0),2)</f>
      </c>
      <c r="AC38" s="114">
        <f>ROUND(IF(AQ38="1",BI38,0),2)</f>
      </c>
      <c r="AD38" s="114">
        <f>ROUND(IF(AQ38="7",BH38,0),2)</f>
      </c>
      <c r="AE38" s="114">
        <f>ROUND(IF(AQ38="7",BI38,0),2)</f>
      </c>
      <c r="AF38" s="114">
        <f>ROUND(IF(AQ38="2",BH38,0),2)</f>
      </c>
      <c r="AG38" s="114">
        <f>ROUND(IF(AQ38="2",BI38,0),2)</f>
      </c>
      <c r="AH38" s="114">
        <f>ROUND(IF(AQ38="0",BJ38,0),2)</f>
      </c>
      <c r="AI38" s="135" t="s">
        <v>88</v>
      </c>
      <c r="AJ38" s="114">
        <f>IF(AN38=0,J38,0)</f>
      </c>
      <c r="AK38" s="114">
        <f>IF(AN38=12,J38,0)</f>
      </c>
      <c r="AL38" s="114">
        <f>IF(AN38=21,J38,0)</f>
      </c>
      <c r="AN38" s="114" t="n">
        <v>21</v>
      </c>
      <c r="AO38" s="114">
        <f>G38*0.018624097</f>
      </c>
      <c r="AP38" s="114">
        <f>G38*(1-0.018624097)</f>
      </c>
      <c r="AQ38" s="158" t="s">
        <v>130</v>
      </c>
      <c r="AV38" s="114">
        <f>ROUND(AW38+AX38,2)</f>
      </c>
      <c r="AW38" s="114">
        <f>ROUND(F38*AO38,2)</f>
      </c>
      <c r="AX38" s="114">
        <f>ROUND(F38*AP38,2)</f>
      </c>
      <c r="AY38" s="158" t="s">
        <v>200</v>
      </c>
      <c r="AZ38" s="158" t="s">
        <v>186</v>
      </c>
      <c r="BA38" s="135" t="s">
        <v>137</v>
      </c>
      <c r="BC38" s="114">
        <f>AW38+AX38</f>
      </c>
      <c r="BD38" s="114">
        <f>G38/(100-BE38)*100</f>
      </c>
      <c r="BE38" s="114" t="n">
        <v>0</v>
      </c>
      <c r="BF38" s="114">
        <f>38</f>
      </c>
      <c r="BH38" s="114">
        <f>F38*AO38</f>
      </c>
      <c r="BI38" s="114">
        <f>F38*AP38</f>
      </c>
      <c r="BJ38" s="114">
        <f>F38*G38</f>
      </c>
      <c r="BK38" s="158" t="s">
        <v>138</v>
      </c>
      <c r="BL38" s="114" t="n">
        <v>28</v>
      </c>
      <c r="BW38" s="114" t="n">
        <v>21</v>
      </c>
      <c r="BX38" s="14" t="s">
        <v>199</v>
      </c>
    </row>
    <row r="39">
      <c r="A39" s="150" t="s">
        <v>10</v>
      </c>
      <c r="B39" s="151" t="s">
        <v>201</v>
      </c>
      <c r="C39" s="152" t="s">
        <v>202</v>
      </c>
      <c r="D39" s="151"/>
      <c r="E39" s="153" t="s">
        <v>81</v>
      </c>
      <c r="F39" s="153" t="s">
        <v>81</v>
      </c>
      <c r="G39" s="154" t="s">
        <v>81</v>
      </c>
      <c r="H39" s="121">
        <f>SUM(H40:H40)</f>
      </c>
      <c r="I39" s="121">
        <f>SUM(I40:I40)</f>
      </c>
      <c r="J39" s="121">
        <f>SUM(J40:J40)</f>
      </c>
      <c r="K39" s="155" t="s">
        <v>10</v>
      </c>
      <c r="AI39" s="135" t="s">
        <v>88</v>
      </c>
      <c r="AS39" s="121">
        <f>SUM(AJ40:AJ40)</f>
      </c>
      <c r="AT39" s="121">
        <f>SUM(AK40:AK40)</f>
      </c>
      <c r="AU39" s="121">
        <f>SUM(AL40:AL40)</f>
      </c>
    </row>
    <row r="40">
      <c r="A40" s="9" t="s">
        <v>203</v>
      </c>
      <c r="B40" s="10" t="s">
        <v>204</v>
      </c>
      <c r="C40" s="14" t="s">
        <v>205</v>
      </c>
      <c r="D40" s="10"/>
      <c r="E40" s="10" t="s">
        <v>133</v>
      </c>
      <c r="F40" s="114" t="n">
        <v>2.52</v>
      </c>
      <c r="G40" s="156" t="n">
        <v>0</v>
      </c>
      <c r="H40" s="114">
        <f>ROUND(F40*AO40,2)</f>
      </c>
      <c r="I40" s="114">
        <f>ROUND(F40*AP40,2)</f>
      </c>
      <c r="J40" s="114">
        <f>ROUND(F40*G40,2)</f>
      </c>
      <c r="K40" s="157" t="s">
        <v>134</v>
      </c>
      <c r="Z40" s="114">
        <f>ROUND(IF(AQ40="5",BJ40,0),2)</f>
      </c>
      <c r="AB40" s="114">
        <f>ROUND(IF(AQ40="1",BH40,0),2)</f>
      </c>
      <c r="AC40" s="114">
        <f>ROUND(IF(AQ40="1",BI40,0),2)</f>
      </c>
      <c r="AD40" s="114">
        <f>ROUND(IF(AQ40="7",BH40,0),2)</f>
      </c>
      <c r="AE40" s="114">
        <f>ROUND(IF(AQ40="7",BI40,0),2)</f>
      </c>
      <c r="AF40" s="114">
        <f>ROUND(IF(AQ40="2",BH40,0),2)</f>
      </c>
      <c r="AG40" s="114">
        <f>ROUND(IF(AQ40="2",BI40,0),2)</f>
      </c>
      <c r="AH40" s="114">
        <f>ROUND(IF(AQ40="0",BJ40,0),2)</f>
      </c>
      <c r="AI40" s="135" t="s">
        <v>88</v>
      </c>
      <c r="AJ40" s="114">
        <f>IF(AN40=0,J40,0)</f>
      </c>
      <c r="AK40" s="114">
        <f>IF(AN40=12,J40,0)</f>
      </c>
      <c r="AL40" s="114">
        <f>IF(AN40=21,J40,0)</f>
      </c>
      <c r="AN40" s="114" t="n">
        <v>21</v>
      </c>
      <c r="AO40" s="114">
        <f>G40*0.714724847</f>
      </c>
      <c r="AP40" s="114">
        <f>G40*(1-0.714724847)</f>
      </c>
      <c r="AQ40" s="158" t="s">
        <v>130</v>
      </c>
      <c r="AV40" s="114">
        <f>ROUND(AW40+AX40,2)</f>
      </c>
      <c r="AW40" s="114">
        <f>ROUND(F40*AO40,2)</f>
      </c>
      <c r="AX40" s="114">
        <f>ROUND(F40*AP40,2)</f>
      </c>
      <c r="AY40" s="158" t="s">
        <v>206</v>
      </c>
      <c r="AZ40" s="158" t="s">
        <v>207</v>
      </c>
      <c r="BA40" s="135" t="s">
        <v>137</v>
      </c>
      <c r="BC40" s="114">
        <f>AW40+AX40</f>
      </c>
      <c r="BD40" s="114">
        <f>G40/(100-BE40)*100</f>
      </c>
      <c r="BE40" s="114" t="n">
        <v>0</v>
      </c>
      <c r="BF40" s="114">
        <f>40</f>
      </c>
      <c r="BH40" s="114">
        <f>F40*AO40</f>
      </c>
      <c r="BI40" s="114">
        <f>F40*AP40</f>
      </c>
      <c r="BJ40" s="114">
        <f>F40*G40</f>
      </c>
      <c r="BK40" s="158" t="s">
        <v>138</v>
      </c>
      <c r="BL40" s="114" t="n">
        <v>43</v>
      </c>
      <c r="BW40" s="114" t="n">
        <v>21</v>
      </c>
      <c r="BX40" s="14" t="s">
        <v>205</v>
      </c>
    </row>
    <row r="41">
      <c r="A41" s="150" t="s">
        <v>10</v>
      </c>
      <c r="B41" s="151" t="s">
        <v>208</v>
      </c>
      <c r="C41" s="152" t="s">
        <v>209</v>
      </c>
      <c r="D41" s="151"/>
      <c r="E41" s="153" t="s">
        <v>81</v>
      </c>
      <c r="F41" s="153" t="s">
        <v>81</v>
      </c>
      <c r="G41" s="154" t="s">
        <v>81</v>
      </c>
      <c r="H41" s="121">
        <f>SUM(H42:H43)</f>
      </c>
      <c r="I41" s="121">
        <f>SUM(I42:I43)</f>
      </c>
      <c r="J41" s="121">
        <f>SUM(J42:J43)</f>
      </c>
      <c r="K41" s="155" t="s">
        <v>10</v>
      </c>
      <c r="AI41" s="135" t="s">
        <v>88</v>
      </c>
      <c r="AS41" s="121">
        <f>SUM(AJ42:AJ43)</f>
      </c>
      <c r="AT41" s="121">
        <f>SUM(AK42:AK43)</f>
      </c>
      <c r="AU41" s="121">
        <f>SUM(AL42:AL43)</f>
      </c>
    </row>
    <row r="42">
      <c r="A42" s="9" t="s">
        <v>157</v>
      </c>
      <c r="B42" s="10" t="s">
        <v>210</v>
      </c>
      <c r="C42" s="14" t="s">
        <v>211</v>
      </c>
      <c r="D42" s="10"/>
      <c r="E42" s="10" t="s">
        <v>212</v>
      </c>
      <c r="F42" s="114" t="n">
        <v>17</v>
      </c>
      <c r="G42" s="156" t="n">
        <v>0</v>
      </c>
      <c r="H42" s="114">
        <f>ROUND(F42*AO42,2)</f>
      </c>
      <c r="I42" s="114">
        <f>ROUND(F42*AP42,2)</f>
      </c>
      <c r="J42" s="114">
        <f>ROUND(F42*G42,2)</f>
      </c>
      <c r="K42" s="157" t="s">
        <v>134</v>
      </c>
      <c r="Z42" s="114">
        <f>ROUND(IF(AQ42="5",BJ42,0),2)</f>
      </c>
      <c r="AB42" s="114">
        <f>ROUND(IF(AQ42="1",BH42,0),2)</f>
      </c>
      <c r="AC42" s="114">
        <f>ROUND(IF(AQ42="1",BI42,0),2)</f>
      </c>
      <c r="AD42" s="114">
        <f>ROUND(IF(AQ42="7",BH42,0),2)</f>
      </c>
      <c r="AE42" s="114">
        <f>ROUND(IF(AQ42="7",BI42,0),2)</f>
      </c>
      <c r="AF42" s="114">
        <f>ROUND(IF(AQ42="2",BH42,0),2)</f>
      </c>
      <c r="AG42" s="114">
        <f>ROUND(IF(AQ42="2",BI42,0),2)</f>
      </c>
      <c r="AH42" s="114">
        <f>ROUND(IF(AQ42="0",BJ42,0),2)</f>
      </c>
      <c r="AI42" s="135" t="s">
        <v>88</v>
      </c>
      <c r="AJ42" s="114">
        <f>IF(AN42=0,J42,0)</f>
      </c>
      <c r="AK42" s="114">
        <f>IF(AN42=12,J42,0)</f>
      </c>
      <c r="AL42" s="114">
        <f>IF(AN42=21,J42,0)</f>
      </c>
      <c r="AN42" s="114" t="n">
        <v>21</v>
      </c>
      <c r="AO42" s="114">
        <f>G42*0.383523316</f>
      </c>
      <c r="AP42" s="114">
        <f>G42*(1-0.383523316)</f>
      </c>
      <c r="AQ42" s="158" t="s">
        <v>130</v>
      </c>
      <c r="AV42" s="114">
        <f>ROUND(AW42+AX42,2)</f>
      </c>
      <c r="AW42" s="114">
        <f>ROUND(F42*AO42,2)</f>
      </c>
      <c r="AX42" s="114">
        <f>ROUND(F42*AP42,2)</f>
      </c>
      <c r="AY42" s="158" t="s">
        <v>213</v>
      </c>
      <c r="AZ42" s="158" t="s">
        <v>207</v>
      </c>
      <c r="BA42" s="135" t="s">
        <v>137</v>
      </c>
      <c r="BC42" s="114">
        <f>AW42+AX42</f>
      </c>
      <c r="BD42" s="114">
        <f>G42/(100-BE42)*100</f>
      </c>
      <c r="BE42" s="114" t="n">
        <v>0</v>
      </c>
      <c r="BF42" s="114">
        <f>42</f>
      </c>
      <c r="BH42" s="114">
        <f>F42*AO42</f>
      </c>
      <c r="BI42" s="114">
        <f>F42*AP42</f>
      </c>
      <c r="BJ42" s="114">
        <f>F42*G42</f>
      </c>
      <c r="BK42" s="158" t="s">
        <v>138</v>
      </c>
      <c r="BL42" s="114" t="n">
        <v>45</v>
      </c>
      <c r="BW42" s="114" t="n">
        <v>21</v>
      </c>
      <c r="BX42" s="14" t="s">
        <v>211</v>
      </c>
    </row>
    <row r="43">
      <c r="A43" s="9" t="s">
        <v>214</v>
      </c>
      <c r="B43" s="10" t="s">
        <v>215</v>
      </c>
      <c r="C43" s="14" t="s">
        <v>216</v>
      </c>
      <c r="D43" s="10"/>
      <c r="E43" s="10" t="s">
        <v>133</v>
      </c>
      <c r="F43" s="114" t="n">
        <v>29.275</v>
      </c>
      <c r="G43" s="156" t="n">
        <v>0</v>
      </c>
      <c r="H43" s="114">
        <f>ROUND(F43*AO43,2)</f>
      </c>
      <c r="I43" s="114">
        <f>ROUND(F43*AP43,2)</f>
      </c>
      <c r="J43" s="114">
        <f>ROUND(F43*G43,2)</f>
      </c>
      <c r="K43" s="157" t="s">
        <v>134</v>
      </c>
      <c r="Z43" s="114">
        <f>ROUND(IF(AQ43="5",BJ43,0),2)</f>
      </c>
      <c r="AB43" s="114">
        <f>ROUND(IF(AQ43="1",BH43,0),2)</f>
      </c>
      <c r="AC43" s="114">
        <f>ROUND(IF(AQ43="1",BI43,0),2)</f>
      </c>
      <c r="AD43" s="114">
        <f>ROUND(IF(AQ43="7",BH43,0),2)</f>
      </c>
      <c r="AE43" s="114">
        <f>ROUND(IF(AQ43="7",BI43,0),2)</f>
      </c>
      <c r="AF43" s="114">
        <f>ROUND(IF(AQ43="2",BH43,0),2)</f>
      </c>
      <c r="AG43" s="114">
        <f>ROUND(IF(AQ43="2",BI43,0),2)</f>
      </c>
      <c r="AH43" s="114">
        <f>ROUND(IF(AQ43="0",BJ43,0),2)</f>
      </c>
      <c r="AI43" s="135" t="s">
        <v>88</v>
      </c>
      <c r="AJ43" s="114">
        <f>IF(AN43=0,J43,0)</f>
      </c>
      <c r="AK43" s="114">
        <f>IF(AN43=12,J43,0)</f>
      </c>
      <c r="AL43" s="114">
        <f>IF(AN43=21,J43,0)</f>
      </c>
      <c r="AN43" s="114" t="n">
        <v>21</v>
      </c>
      <c r="AO43" s="114">
        <f>G43*0.751919724</f>
      </c>
      <c r="AP43" s="114">
        <f>G43*(1-0.751919724)</f>
      </c>
      <c r="AQ43" s="158" t="s">
        <v>130</v>
      </c>
      <c r="AV43" s="114">
        <f>ROUND(AW43+AX43,2)</f>
      </c>
      <c r="AW43" s="114">
        <f>ROUND(F43*AO43,2)</f>
      </c>
      <c r="AX43" s="114">
        <f>ROUND(F43*AP43,2)</f>
      </c>
      <c r="AY43" s="158" t="s">
        <v>213</v>
      </c>
      <c r="AZ43" s="158" t="s">
        <v>207</v>
      </c>
      <c r="BA43" s="135" t="s">
        <v>137</v>
      </c>
      <c r="BC43" s="114">
        <f>AW43+AX43</f>
      </c>
      <c r="BD43" s="114">
        <f>G43/(100-BE43)*100</f>
      </c>
      <c r="BE43" s="114" t="n">
        <v>0</v>
      </c>
      <c r="BF43" s="114">
        <f>43</f>
      </c>
      <c r="BH43" s="114">
        <f>F43*AO43</f>
      </c>
      <c r="BI43" s="114">
        <f>F43*AP43</f>
      </c>
      <c r="BJ43" s="114">
        <f>F43*G43</f>
      </c>
      <c r="BK43" s="158" t="s">
        <v>138</v>
      </c>
      <c r="BL43" s="114" t="n">
        <v>45</v>
      </c>
      <c r="BW43" s="114" t="n">
        <v>21</v>
      </c>
      <c r="BX43" s="14" t="s">
        <v>216</v>
      </c>
    </row>
    <row r="44">
      <c r="A44" s="150" t="s">
        <v>10</v>
      </c>
      <c r="B44" s="151" t="s">
        <v>217</v>
      </c>
      <c r="C44" s="152" t="s">
        <v>218</v>
      </c>
      <c r="D44" s="151"/>
      <c r="E44" s="153" t="s">
        <v>81</v>
      </c>
      <c r="F44" s="153" t="s">
        <v>81</v>
      </c>
      <c r="G44" s="154" t="s">
        <v>81</v>
      </c>
      <c r="H44" s="121">
        <f>SUM(H45:H45)</f>
      </c>
      <c r="I44" s="121">
        <f>SUM(I45:I45)</f>
      </c>
      <c r="J44" s="121">
        <f>SUM(J45:J45)</f>
      </c>
      <c r="K44" s="155" t="s">
        <v>10</v>
      </c>
      <c r="AI44" s="135" t="s">
        <v>88</v>
      </c>
      <c r="AS44" s="121">
        <f>SUM(AJ45:AJ45)</f>
      </c>
      <c r="AT44" s="121">
        <f>SUM(AK45:AK45)</f>
      </c>
      <c r="AU44" s="121">
        <f>SUM(AL45:AL45)</f>
      </c>
    </row>
    <row r="45">
      <c r="A45" s="9" t="s">
        <v>219</v>
      </c>
      <c r="B45" s="10" t="s">
        <v>220</v>
      </c>
      <c r="C45" s="14" t="s">
        <v>221</v>
      </c>
      <c r="D45" s="10"/>
      <c r="E45" s="10" t="s">
        <v>153</v>
      </c>
      <c r="F45" s="114" t="n">
        <v>10.676</v>
      </c>
      <c r="G45" s="156" t="n">
        <v>0</v>
      </c>
      <c r="H45" s="114">
        <f>ROUND(F45*AO45,2)</f>
      </c>
      <c r="I45" s="114">
        <f>ROUND(F45*AP45,2)</f>
      </c>
      <c r="J45" s="114">
        <f>ROUND(F45*G45,2)</f>
      </c>
      <c r="K45" s="157" t="s">
        <v>134</v>
      </c>
      <c r="Z45" s="114">
        <f>ROUND(IF(AQ45="5",BJ45,0),2)</f>
      </c>
      <c r="AB45" s="114">
        <f>ROUND(IF(AQ45="1",BH45,0),2)</f>
      </c>
      <c r="AC45" s="114">
        <f>ROUND(IF(AQ45="1",BI45,0),2)</f>
      </c>
      <c r="AD45" s="114">
        <f>ROUND(IF(AQ45="7",BH45,0),2)</f>
      </c>
      <c r="AE45" s="114">
        <f>ROUND(IF(AQ45="7",BI45,0),2)</f>
      </c>
      <c r="AF45" s="114">
        <f>ROUND(IF(AQ45="2",BH45,0),2)</f>
      </c>
      <c r="AG45" s="114">
        <f>ROUND(IF(AQ45="2",BI45,0),2)</f>
      </c>
      <c r="AH45" s="114">
        <f>ROUND(IF(AQ45="0",BJ45,0),2)</f>
      </c>
      <c r="AI45" s="135" t="s">
        <v>88</v>
      </c>
      <c r="AJ45" s="114">
        <f>IF(AN45=0,J45,0)</f>
      </c>
      <c r="AK45" s="114">
        <f>IF(AN45=12,J45,0)</f>
      </c>
      <c r="AL45" s="114">
        <f>IF(AN45=21,J45,0)</f>
      </c>
      <c r="AN45" s="114" t="n">
        <v>21</v>
      </c>
      <c r="AO45" s="114">
        <f>G45*0</f>
      </c>
      <c r="AP45" s="114">
        <f>G45*(1-0)</f>
      </c>
      <c r="AQ45" s="158" t="s">
        <v>130</v>
      </c>
      <c r="AV45" s="114">
        <f>ROUND(AW45+AX45,2)</f>
      </c>
      <c r="AW45" s="114">
        <f>ROUND(F45*AO45,2)</f>
      </c>
      <c r="AX45" s="114">
        <f>ROUND(F45*AP45,2)</f>
      </c>
      <c r="AY45" s="158" t="s">
        <v>222</v>
      </c>
      <c r="AZ45" s="158" t="s">
        <v>223</v>
      </c>
      <c r="BA45" s="135" t="s">
        <v>137</v>
      </c>
      <c r="BC45" s="114">
        <f>AW45+AX45</f>
      </c>
      <c r="BD45" s="114">
        <f>G45/(100-BE45)*100</f>
      </c>
      <c r="BE45" s="114" t="n">
        <v>0</v>
      </c>
      <c r="BF45" s="114">
        <f>45</f>
      </c>
      <c r="BH45" s="114">
        <f>F45*AO45</f>
      </c>
      <c r="BI45" s="114">
        <f>F45*AP45</f>
      </c>
      <c r="BJ45" s="114">
        <f>F45*G45</f>
      </c>
      <c r="BK45" s="158" t="s">
        <v>138</v>
      </c>
      <c r="BL45" s="114" t="n">
        <v>51</v>
      </c>
      <c r="BW45" s="114" t="n">
        <v>21</v>
      </c>
      <c r="BX45" s="14" t="s">
        <v>221</v>
      </c>
    </row>
    <row r="46" customHeight="true" ht="13.5">
      <c r="A46" s="159"/>
      <c r="B46" s="160" t="s">
        <v>155</v>
      </c>
      <c r="C46" s="161" t="s">
        <v>224</v>
      </c>
      <c r="D46" s="162"/>
      <c r="E46" s="162"/>
      <c r="F46" s="162"/>
      <c r="G46" s="163"/>
      <c r="H46" s="162"/>
      <c r="I46" s="162"/>
      <c r="J46" s="162"/>
      <c r="K46" s="164"/>
    </row>
    <row r="47" customHeight="true" ht="13.5">
      <c r="A47" s="159"/>
      <c r="B47" s="160" t="s">
        <v>58</v>
      </c>
      <c r="C47" s="161" t="s">
        <v>187</v>
      </c>
      <c r="D47" s="162"/>
      <c r="E47" s="162"/>
      <c r="F47" s="162"/>
      <c r="G47" s="163"/>
      <c r="H47" s="162"/>
      <c r="I47" s="162"/>
      <c r="J47" s="162"/>
      <c r="K47" s="164"/>
    </row>
    <row r="48">
      <c r="A48" s="150" t="s">
        <v>10</v>
      </c>
      <c r="B48" s="151" t="s">
        <v>225</v>
      </c>
      <c r="C48" s="152" t="s">
        <v>226</v>
      </c>
      <c r="D48" s="151"/>
      <c r="E48" s="153" t="s">
        <v>81</v>
      </c>
      <c r="F48" s="153" t="s">
        <v>81</v>
      </c>
      <c r="G48" s="154" t="s">
        <v>81</v>
      </c>
      <c r="H48" s="121">
        <f>SUM(H49:H49)</f>
      </c>
      <c r="I48" s="121">
        <f>SUM(I49:I49)</f>
      </c>
      <c r="J48" s="121">
        <f>SUM(J49:J49)</f>
      </c>
      <c r="K48" s="155" t="s">
        <v>10</v>
      </c>
      <c r="AI48" s="135" t="s">
        <v>88</v>
      </c>
      <c r="AS48" s="121">
        <f>SUM(AJ49:AJ49)</f>
      </c>
      <c r="AT48" s="121">
        <f>SUM(AK49:AK49)</f>
      </c>
      <c r="AU48" s="121">
        <f>SUM(AL49:AL49)</f>
      </c>
    </row>
    <row r="49">
      <c r="A49" s="9" t="s">
        <v>227</v>
      </c>
      <c r="B49" s="10" t="s">
        <v>228</v>
      </c>
      <c r="C49" s="14" t="s">
        <v>229</v>
      </c>
      <c r="D49" s="10"/>
      <c r="E49" s="10" t="s">
        <v>230</v>
      </c>
      <c r="F49" s="114" t="n">
        <v>8</v>
      </c>
      <c r="G49" s="156" t="n">
        <v>0</v>
      </c>
      <c r="H49" s="114">
        <f>ROUND(F49*AO49,2)</f>
      </c>
      <c r="I49" s="114">
        <f>ROUND(F49*AP49,2)</f>
      </c>
      <c r="J49" s="114">
        <f>ROUND(F49*G49,2)</f>
      </c>
      <c r="K49" s="157" t="s">
        <v>134</v>
      </c>
      <c r="Z49" s="114">
        <f>ROUND(IF(AQ49="5",BJ49,0),2)</f>
      </c>
      <c r="AB49" s="114">
        <f>ROUND(IF(AQ49="1",BH49,0),2)</f>
      </c>
      <c r="AC49" s="114">
        <f>ROUND(IF(AQ49="1",BI49,0),2)</f>
      </c>
      <c r="AD49" s="114">
        <f>ROUND(IF(AQ49="7",BH49,0),2)</f>
      </c>
      <c r="AE49" s="114">
        <f>ROUND(IF(AQ49="7",BI49,0),2)</f>
      </c>
      <c r="AF49" s="114">
        <f>ROUND(IF(AQ49="2",BH49,0),2)</f>
      </c>
      <c r="AG49" s="114">
        <f>ROUND(IF(AQ49="2",BI49,0),2)</f>
      </c>
      <c r="AH49" s="114">
        <f>ROUND(IF(AQ49="0",BJ49,0),2)</f>
      </c>
      <c r="AI49" s="135" t="s">
        <v>88</v>
      </c>
      <c r="AJ49" s="114">
        <f>IF(AN49=0,J49,0)</f>
      </c>
      <c r="AK49" s="114">
        <f>IF(AN49=12,J49,0)</f>
      </c>
      <c r="AL49" s="114">
        <f>IF(AN49=21,J49,0)</f>
      </c>
      <c r="AN49" s="114" t="n">
        <v>21</v>
      </c>
      <c r="AO49" s="114">
        <f>G49*0.546322054</f>
      </c>
      <c r="AP49" s="114">
        <f>G49*(1-0.546322054)</f>
      </c>
      <c r="AQ49" s="158" t="s">
        <v>130</v>
      </c>
      <c r="AV49" s="114">
        <f>ROUND(AW49+AX49,2)</f>
      </c>
      <c r="AW49" s="114">
        <f>ROUND(F49*AO49,2)</f>
      </c>
      <c r="AX49" s="114">
        <f>ROUND(F49*AP49,2)</f>
      </c>
      <c r="AY49" s="158" t="s">
        <v>231</v>
      </c>
      <c r="AZ49" s="158" t="s">
        <v>223</v>
      </c>
      <c r="BA49" s="135" t="s">
        <v>137</v>
      </c>
      <c r="BC49" s="114">
        <f>AW49+AX49</f>
      </c>
      <c r="BD49" s="114">
        <f>G49/(100-BE49)*100</f>
      </c>
      <c r="BE49" s="114" t="n">
        <v>0</v>
      </c>
      <c r="BF49" s="114">
        <f>49</f>
      </c>
      <c r="BH49" s="114">
        <f>F49*AO49</f>
      </c>
      <c r="BI49" s="114">
        <f>F49*AP49</f>
      </c>
      <c r="BJ49" s="114">
        <f>F49*G49</f>
      </c>
      <c r="BK49" s="158" t="s">
        <v>138</v>
      </c>
      <c r="BL49" s="114" t="n">
        <v>54</v>
      </c>
      <c r="BW49" s="114" t="n">
        <v>21</v>
      </c>
      <c r="BX49" s="14" t="s">
        <v>229</v>
      </c>
    </row>
    <row r="50">
      <c r="A50" s="150" t="s">
        <v>10</v>
      </c>
      <c r="B50" s="151" t="s">
        <v>232</v>
      </c>
      <c r="C50" s="152" t="s">
        <v>233</v>
      </c>
      <c r="D50" s="151"/>
      <c r="E50" s="153" t="s">
        <v>81</v>
      </c>
      <c r="F50" s="153" t="s">
        <v>81</v>
      </c>
      <c r="G50" s="154" t="s">
        <v>81</v>
      </c>
      <c r="H50" s="121">
        <f>SUM(H51:H57)</f>
      </c>
      <c r="I50" s="121">
        <f>SUM(I51:I57)</f>
      </c>
      <c r="J50" s="121">
        <f>SUM(J51:J57)</f>
      </c>
      <c r="K50" s="155" t="s">
        <v>10</v>
      </c>
      <c r="AI50" s="135" t="s">
        <v>88</v>
      </c>
      <c r="AS50" s="121">
        <f>SUM(AJ51:AJ57)</f>
      </c>
      <c r="AT50" s="121">
        <f>SUM(AK51:AK57)</f>
      </c>
      <c r="AU50" s="121">
        <f>SUM(AL51:AL57)</f>
      </c>
    </row>
    <row r="51">
      <c r="A51" s="9" t="s">
        <v>234</v>
      </c>
      <c r="B51" s="10" t="s">
        <v>235</v>
      </c>
      <c r="C51" s="14" t="s">
        <v>236</v>
      </c>
      <c r="D51" s="10"/>
      <c r="E51" s="10" t="s">
        <v>133</v>
      </c>
      <c r="F51" s="114" t="n">
        <v>271</v>
      </c>
      <c r="G51" s="156" t="n">
        <v>0</v>
      </c>
      <c r="H51" s="114">
        <f>ROUND(F51*AO51,2)</f>
      </c>
      <c r="I51" s="114">
        <f>ROUND(F51*AP51,2)</f>
      </c>
      <c r="J51" s="114">
        <f>ROUND(F51*G51,2)</f>
      </c>
      <c r="K51" s="157" t="s">
        <v>134</v>
      </c>
      <c r="Z51" s="114">
        <f>ROUND(IF(AQ51="5",BJ51,0),2)</f>
      </c>
      <c r="AB51" s="114">
        <f>ROUND(IF(AQ51="1",BH51,0),2)</f>
      </c>
      <c r="AC51" s="114">
        <f>ROUND(IF(AQ51="1",BI51,0),2)</f>
      </c>
      <c r="AD51" s="114">
        <f>ROUND(IF(AQ51="7",BH51,0),2)</f>
      </c>
      <c r="AE51" s="114">
        <f>ROUND(IF(AQ51="7",BI51,0),2)</f>
      </c>
      <c r="AF51" s="114">
        <f>ROUND(IF(AQ51="2",BH51,0),2)</f>
      </c>
      <c r="AG51" s="114">
        <f>ROUND(IF(AQ51="2",BI51,0),2)</f>
      </c>
      <c r="AH51" s="114">
        <f>ROUND(IF(AQ51="0",BJ51,0),2)</f>
      </c>
      <c r="AI51" s="135" t="s">
        <v>88</v>
      </c>
      <c r="AJ51" s="114">
        <f>IF(AN51=0,J51,0)</f>
      </c>
      <c r="AK51" s="114">
        <f>IF(AN51=12,J51,0)</f>
      </c>
      <c r="AL51" s="114">
        <f>IF(AN51=21,J51,0)</f>
      </c>
      <c r="AN51" s="114" t="n">
        <v>21</v>
      </c>
      <c r="AO51" s="114">
        <f>G51*0.829445585</f>
      </c>
      <c r="AP51" s="114">
        <f>G51*(1-0.829445585)</f>
      </c>
      <c r="AQ51" s="158" t="s">
        <v>130</v>
      </c>
      <c r="AV51" s="114">
        <f>ROUND(AW51+AX51,2)</f>
      </c>
      <c r="AW51" s="114">
        <f>ROUND(F51*AO51,2)</f>
      </c>
      <c r="AX51" s="114">
        <f>ROUND(F51*AP51,2)</f>
      </c>
      <c r="AY51" s="158" t="s">
        <v>237</v>
      </c>
      <c r="AZ51" s="158" t="s">
        <v>223</v>
      </c>
      <c r="BA51" s="135" t="s">
        <v>137</v>
      </c>
      <c r="BC51" s="114">
        <f>AW51+AX51</f>
      </c>
      <c r="BD51" s="114">
        <f>G51/(100-BE51)*100</f>
      </c>
      <c r="BE51" s="114" t="n">
        <v>0</v>
      </c>
      <c r="BF51" s="114">
        <f>51</f>
      </c>
      <c r="BH51" s="114">
        <f>F51*AO51</f>
      </c>
      <c r="BI51" s="114">
        <f>F51*AP51</f>
      </c>
      <c r="BJ51" s="114">
        <f>F51*G51</f>
      </c>
      <c r="BK51" s="158" t="s">
        <v>138</v>
      </c>
      <c r="BL51" s="114" t="n">
        <v>56</v>
      </c>
      <c r="BW51" s="114" t="n">
        <v>21</v>
      </c>
      <c r="BX51" s="14" t="s">
        <v>236</v>
      </c>
    </row>
    <row r="52" customHeight="true" ht="13.5">
      <c r="A52" s="159"/>
      <c r="B52" s="160" t="s">
        <v>155</v>
      </c>
      <c r="C52" s="161" t="s">
        <v>238</v>
      </c>
      <c r="D52" s="162"/>
      <c r="E52" s="162"/>
      <c r="F52" s="162"/>
      <c r="G52" s="163"/>
      <c r="H52" s="162"/>
      <c r="I52" s="162"/>
      <c r="J52" s="162"/>
      <c r="K52" s="164"/>
    </row>
    <row r="53">
      <c r="A53" s="9" t="s">
        <v>239</v>
      </c>
      <c r="B53" s="10" t="s">
        <v>240</v>
      </c>
      <c r="C53" s="14" t="s">
        <v>241</v>
      </c>
      <c r="D53" s="10"/>
      <c r="E53" s="10" t="s">
        <v>133</v>
      </c>
      <c r="F53" s="114" t="n">
        <v>15</v>
      </c>
      <c r="G53" s="156" t="n">
        <v>0</v>
      </c>
      <c r="H53" s="114">
        <f>ROUND(F53*AO53,2)</f>
      </c>
      <c r="I53" s="114">
        <f>ROUND(F53*AP53,2)</f>
      </c>
      <c r="J53" s="114">
        <f>ROUND(F53*G53,2)</f>
      </c>
      <c r="K53" s="157" t="s">
        <v>134</v>
      </c>
      <c r="Z53" s="114">
        <f>ROUND(IF(AQ53="5",BJ53,0),2)</f>
      </c>
      <c r="AB53" s="114">
        <f>ROUND(IF(AQ53="1",BH53,0),2)</f>
      </c>
      <c r="AC53" s="114">
        <f>ROUND(IF(AQ53="1",BI53,0),2)</f>
      </c>
      <c r="AD53" s="114">
        <f>ROUND(IF(AQ53="7",BH53,0),2)</f>
      </c>
      <c r="AE53" s="114">
        <f>ROUND(IF(AQ53="7",BI53,0),2)</f>
      </c>
      <c r="AF53" s="114">
        <f>ROUND(IF(AQ53="2",BH53,0),2)</f>
      </c>
      <c r="AG53" s="114">
        <f>ROUND(IF(AQ53="2",BI53,0),2)</f>
      </c>
      <c r="AH53" s="114">
        <f>ROUND(IF(AQ53="0",BJ53,0),2)</f>
      </c>
      <c r="AI53" s="135" t="s">
        <v>88</v>
      </c>
      <c r="AJ53" s="114">
        <f>IF(AN53=0,J53,0)</f>
      </c>
      <c r="AK53" s="114">
        <f>IF(AN53=12,J53,0)</f>
      </c>
      <c r="AL53" s="114">
        <f>IF(AN53=21,J53,0)</f>
      </c>
      <c r="AN53" s="114" t="n">
        <v>21</v>
      </c>
      <c r="AO53" s="114">
        <f>G53*0.808533333</f>
      </c>
      <c r="AP53" s="114">
        <f>G53*(1-0.808533333)</f>
      </c>
      <c r="AQ53" s="158" t="s">
        <v>130</v>
      </c>
      <c r="AV53" s="114">
        <f>ROUND(AW53+AX53,2)</f>
      </c>
      <c r="AW53" s="114">
        <f>ROUND(F53*AO53,2)</f>
      </c>
      <c r="AX53" s="114">
        <f>ROUND(F53*AP53,2)</f>
      </c>
      <c r="AY53" s="158" t="s">
        <v>237</v>
      </c>
      <c r="AZ53" s="158" t="s">
        <v>223</v>
      </c>
      <c r="BA53" s="135" t="s">
        <v>137</v>
      </c>
      <c r="BC53" s="114">
        <f>AW53+AX53</f>
      </c>
      <c r="BD53" s="114">
        <f>G53/(100-BE53)*100</f>
      </c>
      <c r="BE53" s="114" t="n">
        <v>0</v>
      </c>
      <c r="BF53" s="114">
        <f>53</f>
      </c>
      <c r="BH53" s="114">
        <f>F53*AO53</f>
      </c>
      <c r="BI53" s="114">
        <f>F53*AP53</f>
      </c>
      <c r="BJ53" s="114">
        <f>F53*G53</f>
      </c>
      <c r="BK53" s="158" t="s">
        <v>138</v>
      </c>
      <c r="BL53" s="114" t="n">
        <v>56</v>
      </c>
      <c r="BW53" s="114" t="n">
        <v>21</v>
      </c>
      <c r="BX53" s="14" t="s">
        <v>241</v>
      </c>
    </row>
    <row r="54" customHeight="true" ht="13.5">
      <c r="A54" s="159"/>
      <c r="B54" s="160" t="s">
        <v>155</v>
      </c>
      <c r="C54" s="161" t="s">
        <v>242</v>
      </c>
      <c r="D54" s="162"/>
      <c r="E54" s="162"/>
      <c r="F54" s="162"/>
      <c r="G54" s="163"/>
      <c r="H54" s="162"/>
      <c r="I54" s="162"/>
      <c r="J54" s="162"/>
      <c r="K54" s="164"/>
    </row>
    <row r="55">
      <c r="A55" s="9" t="s">
        <v>243</v>
      </c>
      <c r="B55" s="10" t="s">
        <v>244</v>
      </c>
      <c r="C55" s="14" t="s">
        <v>245</v>
      </c>
      <c r="D55" s="10"/>
      <c r="E55" s="10" t="s">
        <v>133</v>
      </c>
      <c r="F55" s="114" t="n">
        <v>144</v>
      </c>
      <c r="G55" s="156" t="n">
        <v>0</v>
      </c>
      <c r="H55" s="114">
        <f>ROUND(F55*AO55,2)</f>
      </c>
      <c r="I55" s="114">
        <f>ROUND(F55*AP55,2)</f>
      </c>
      <c r="J55" s="114">
        <f>ROUND(F55*G55,2)</f>
      </c>
      <c r="K55" s="157" t="s">
        <v>134</v>
      </c>
      <c r="Z55" s="114">
        <f>ROUND(IF(AQ55="5",BJ55,0),2)</f>
      </c>
      <c r="AB55" s="114">
        <f>ROUND(IF(AQ55="1",BH55,0),2)</f>
      </c>
      <c r="AC55" s="114">
        <f>ROUND(IF(AQ55="1",BI55,0),2)</f>
      </c>
      <c r="AD55" s="114">
        <f>ROUND(IF(AQ55="7",BH55,0),2)</f>
      </c>
      <c r="AE55" s="114">
        <f>ROUND(IF(AQ55="7",BI55,0),2)</f>
      </c>
      <c r="AF55" s="114">
        <f>ROUND(IF(AQ55="2",BH55,0),2)</f>
      </c>
      <c r="AG55" s="114">
        <f>ROUND(IF(AQ55="2",BI55,0),2)</f>
      </c>
      <c r="AH55" s="114">
        <f>ROUND(IF(AQ55="0",BJ55,0),2)</f>
      </c>
      <c r="AI55" s="135" t="s">
        <v>88</v>
      </c>
      <c r="AJ55" s="114">
        <f>IF(AN55=0,J55,0)</f>
      </c>
      <c r="AK55" s="114">
        <f>IF(AN55=12,J55,0)</f>
      </c>
      <c r="AL55" s="114">
        <f>IF(AN55=21,J55,0)</f>
      </c>
      <c r="AN55" s="114" t="n">
        <v>21</v>
      </c>
      <c r="AO55" s="114">
        <f>G55*0.447069272</f>
      </c>
      <c r="AP55" s="114">
        <f>G55*(1-0.447069272)</f>
      </c>
      <c r="AQ55" s="158" t="s">
        <v>130</v>
      </c>
      <c r="AV55" s="114">
        <f>ROUND(AW55+AX55,2)</f>
      </c>
      <c r="AW55" s="114">
        <f>ROUND(F55*AO55,2)</f>
      </c>
      <c r="AX55" s="114">
        <f>ROUND(F55*AP55,2)</f>
      </c>
      <c r="AY55" s="158" t="s">
        <v>237</v>
      </c>
      <c r="AZ55" s="158" t="s">
        <v>223</v>
      </c>
      <c r="BA55" s="135" t="s">
        <v>137</v>
      </c>
      <c r="BC55" s="114">
        <f>AW55+AX55</f>
      </c>
      <c r="BD55" s="114">
        <f>G55/(100-BE55)*100</f>
      </c>
      <c r="BE55" s="114" t="n">
        <v>0</v>
      </c>
      <c r="BF55" s="114">
        <f>55</f>
      </c>
      <c r="BH55" s="114">
        <f>F55*AO55</f>
      </c>
      <c r="BI55" s="114">
        <f>F55*AP55</f>
      </c>
      <c r="BJ55" s="114">
        <f>F55*G55</f>
      </c>
      <c r="BK55" s="158" t="s">
        <v>138</v>
      </c>
      <c r="BL55" s="114" t="n">
        <v>56</v>
      </c>
      <c r="BW55" s="114" t="n">
        <v>21</v>
      </c>
      <c r="BX55" s="14" t="s">
        <v>245</v>
      </c>
    </row>
    <row r="56" customHeight="true" ht="13.5">
      <c r="A56" s="159"/>
      <c r="B56" s="160" t="s">
        <v>155</v>
      </c>
      <c r="C56" s="161" t="s">
        <v>246</v>
      </c>
      <c r="D56" s="162"/>
      <c r="E56" s="162"/>
      <c r="F56" s="162"/>
      <c r="G56" s="163"/>
      <c r="H56" s="162"/>
      <c r="I56" s="162"/>
      <c r="J56" s="162"/>
      <c r="K56" s="164"/>
    </row>
    <row r="57">
      <c r="A57" s="9" t="s">
        <v>247</v>
      </c>
      <c r="B57" s="10" t="s">
        <v>248</v>
      </c>
      <c r="C57" s="14" t="s">
        <v>249</v>
      </c>
      <c r="D57" s="10"/>
      <c r="E57" s="10" t="s">
        <v>133</v>
      </c>
      <c r="F57" s="114" t="n">
        <v>61.72</v>
      </c>
      <c r="G57" s="156" t="n">
        <v>0</v>
      </c>
      <c r="H57" s="114">
        <f>ROUND(F57*AO57,2)</f>
      </c>
      <c r="I57" s="114">
        <f>ROUND(F57*AP57,2)</f>
      </c>
      <c r="J57" s="114">
        <f>ROUND(F57*G57,2)</f>
      </c>
      <c r="K57" s="157" t="s">
        <v>134</v>
      </c>
      <c r="Z57" s="114">
        <f>ROUND(IF(AQ57="5",BJ57,0),2)</f>
      </c>
      <c r="AB57" s="114">
        <f>ROUND(IF(AQ57="1",BH57,0),2)</f>
      </c>
      <c r="AC57" s="114">
        <f>ROUND(IF(AQ57="1",BI57,0),2)</f>
      </c>
      <c r="AD57" s="114">
        <f>ROUND(IF(AQ57="7",BH57,0),2)</f>
      </c>
      <c r="AE57" s="114">
        <f>ROUND(IF(AQ57="7",BI57,0),2)</f>
      </c>
      <c r="AF57" s="114">
        <f>ROUND(IF(AQ57="2",BH57,0),2)</f>
      </c>
      <c r="AG57" s="114">
        <f>ROUND(IF(AQ57="2",BI57,0),2)</f>
      </c>
      <c r="AH57" s="114">
        <f>ROUND(IF(AQ57="0",BJ57,0),2)</f>
      </c>
      <c r="AI57" s="135" t="s">
        <v>88</v>
      </c>
      <c r="AJ57" s="114">
        <f>IF(AN57=0,J57,0)</f>
      </c>
      <c r="AK57" s="114">
        <f>IF(AN57=12,J57,0)</f>
      </c>
      <c r="AL57" s="114">
        <f>IF(AN57=21,J57,0)</f>
      </c>
      <c r="AN57" s="114" t="n">
        <v>21</v>
      </c>
      <c r="AO57" s="114">
        <f>G57*0.768288776</f>
      </c>
      <c r="AP57" s="114">
        <f>G57*(1-0.768288776)</f>
      </c>
      <c r="AQ57" s="158" t="s">
        <v>130</v>
      </c>
      <c r="AV57" s="114">
        <f>ROUND(AW57+AX57,2)</f>
      </c>
      <c r="AW57" s="114">
        <f>ROUND(F57*AO57,2)</f>
      </c>
      <c r="AX57" s="114">
        <f>ROUND(F57*AP57,2)</f>
      </c>
      <c r="AY57" s="158" t="s">
        <v>237</v>
      </c>
      <c r="AZ57" s="158" t="s">
        <v>223</v>
      </c>
      <c r="BA57" s="135" t="s">
        <v>137</v>
      </c>
      <c r="BC57" s="114">
        <f>AW57+AX57</f>
      </c>
      <c r="BD57" s="114">
        <f>G57/(100-BE57)*100</f>
      </c>
      <c r="BE57" s="114" t="n">
        <v>0</v>
      </c>
      <c r="BF57" s="114">
        <f>57</f>
      </c>
      <c r="BH57" s="114">
        <f>F57*AO57</f>
      </c>
      <c r="BI57" s="114">
        <f>F57*AP57</f>
      </c>
      <c r="BJ57" s="114">
        <f>F57*G57</f>
      </c>
      <c r="BK57" s="158" t="s">
        <v>138</v>
      </c>
      <c r="BL57" s="114" t="n">
        <v>56</v>
      </c>
      <c r="BW57" s="114" t="n">
        <v>21</v>
      </c>
      <c r="BX57" s="14" t="s">
        <v>249</v>
      </c>
    </row>
    <row r="58" customHeight="true" ht="13.5">
      <c r="A58" s="159"/>
      <c r="B58" s="160" t="s">
        <v>155</v>
      </c>
      <c r="C58" s="161" t="s">
        <v>242</v>
      </c>
      <c r="D58" s="162"/>
      <c r="E58" s="162"/>
      <c r="F58" s="162"/>
      <c r="G58" s="163"/>
      <c r="H58" s="162"/>
      <c r="I58" s="162"/>
      <c r="J58" s="162"/>
      <c r="K58" s="164"/>
    </row>
    <row r="59">
      <c r="A59" s="150" t="s">
        <v>10</v>
      </c>
      <c r="B59" s="151" t="s">
        <v>250</v>
      </c>
      <c r="C59" s="152" t="s">
        <v>251</v>
      </c>
      <c r="D59" s="151"/>
      <c r="E59" s="153" t="s">
        <v>81</v>
      </c>
      <c r="F59" s="153" t="s">
        <v>81</v>
      </c>
      <c r="G59" s="154" t="s">
        <v>81</v>
      </c>
      <c r="H59" s="121">
        <f>SUM(H60:H62)</f>
      </c>
      <c r="I59" s="121">
        <f>SUM(I60:I62)</f>
      </c>
      <c r="J59" s="121">
        <f>SUM(J60:J62)</f>
      </c>
      <c r="K59" s="155" t="s">
        <v>10</v>
      </c>
      <c r="AI59" s="135" t="s">
        <v>88</v>
      </c>
      <c r="AS59" s="121">
        <f>SUM(AJ60:AJ62)</f>
      </c>
      <c r="AT59" s="121">
        <f>SUM(AK60:AK62)</f>
      </c>
      <c r="AU59" s="121">
        <f>SUM(AL60:AL62)</f>
      </c>
    </row>
    <row r="60">
      <c r="A60" s="9" t="s">
        <v>252</v>
      </c>
      <c r="B60" s="10" t="s">
        <v>253</v>
      </c>
      <c r="C60" s="14" t="s">
        <v>254</v>
      </c>
      <c r="D60" s="10"/>
      <c r="E60" s="10" t="s">
        <v>133</v>
      </c>
      <c r="F60" s="114" t="n">
        <v>16</v>
      </c>
      <c r="G60" s="156" t="n">
        <v>0</v>
      </c>
      <c r="H60" s="114">
        <f>ROUND(F60*AO60,2)</f>
      </c>
      <c r="I60" s="114">
        <f>ROUND(F60*AP60,2)</f>
      </c>
      <c r="J60" s="114">
        <f>ROUND(F60*G60,2)</f>
      </c>
      <c r="K60" s="157" t="s">
        <v>134</v>
      </c>
      <c r="Z60" s="114">
        <f>ROUND(IF(AQ60="5",BJ60,0),2)</f>
      </c>
      <c r="AB60" s="114">
        <f>ROUND(IF(AQ60="1",BH60,0),2)</f>
      </c>
      <c r="AC60" s="114">
        <f>ROUND(IF(AQ60="1",BI60,0),2)</f>
      </c>
      <c r="AD60" s="114">
        <f>ROUND(IF(AQ60="7",BH60,0),2)</f>
      </c>
      <c r="AE60" s="114">
        <f>ROUND(IF(AQ60="7",BI60,0),2)</f>
      </c>
      <c r="AF60" s="114">
        <f>ROUND(IF(AQ60="2",BH60,0),2)</f>
      </c>
      <c r="AG60" s="114">
        <f>ROUND(IF(AQ60="2",BI60,0),2)</f>
      </c>
      <c r="AH60" s="114">
        <f>ROUND(IF(AQ60="0",BJ60,0),2)</f>
      </c>
      <c r="AI60" s="135" t="s">
        <v>88</v>
      </c>
      <c r="AJ60" s="114">
        <f>IF(AN60=0,J60,0)</f>
      </c>
      <c r="AK60" s="114">
        <f>IF(AN60=12,J60,0)</f>
      </c>
      <c r="AL60" s="114">
        <f>IF(AN60=21,J60,0)</f>
      </c>
      <c r="AN60" s="114" t="n">
        <v>21</v>
      </c>
      <c r="AO60" s="114">
        <f>G60*0.648827839</f>
      </c>
      <c r="AP60" s="114">
        <f>G60*(1-0.648827839)</f>
      </c>
      <c r="AQ60" s="158" t="s">
        <v>130</v>
      </c>
      <c r="AV60" s="114">
        <f>ROUND(AW60+AX60,2)</f>
      </c>
      <c r="AW60" s="114">
        <f>ROUND(F60*AO60,2)</f>
      </c>
      <c r="AX60" s="114">
        <f>ROUND(F60*AP60,2)</f>
      </c>
      <c r="AY60" s="158" t="s">
        <v>255</v>
      </c>
      <c r="AZ60" s="158" t="s">
        <v>223</v>
      </c>
      <c r="BA60" s="135" t="s">
        <v>137</v>
      </c>
      <c r="BC60" s="114">
        <f>AW60+AX60</f>
      </c>
      <c r="BD60" s="114">
        <f>G60/(100-BE60)*100</f>
      </c>
      <c r="BE60" s="114" t="n">
        <v>0</v>
      </c>
      <c r="BF60" s="114">
        <f>60</f>
      </c>
      <c r="BH60" s="114">
        <f>F60*AO60</f>
      </c>
      <c r="BI60" s="114">
        <f>F60*AP60</f>
      </c>
      <c r="BJ60" s="114">
        <f>F60*G60</f>
      </c>
      <c r="BK60" s="158" t="s">
        <v>138</v>
      </c>
      <c r="BL60" s="114" t="n">
        <v>57</v>
      </c>
      <c r="BW60" s="114" t="n">
        <v>21</v>
      </c>
      <c r="BX60" s="14" t="s">
        <v>254</v>
      </c>
    </row>
    <row r="61" customHeight="true" ht="13.5">
      <c r="A61" s="159"/>
      <c r="B61" s="160" t="s">
        <v>155</v>
      </c>
      <c r="C61" s="161" t="s">
        <v>256</v>
      </c>
      <c r="D61" s="162"/>
      <c r="E61" s="162"/>
      <c r="F61" s="162"/>
      <c r="G61" s="163"/>
      <c r="H61" s="162"/>
      <c r="I61" s="162"/>
      <c r="J61" s="162"/>
      <c r="K61" s="164"/>
    </row>
    <row r="62">
      <c r="A62" s="9" t="s">
        <v>180</v>
      </c>
      <c r="B62" s="10" t="s">
        <v>257</v>
      </c>
      <c r="C62" s="14" t="s">
        <v>258</v>
      </c>
      <c r="D62" s="10"/>
      <c r="E62" s="10" t="s">
        <v>133</v>
      </c>
      <c r="F62" s="114" t="n">
        <v>16</v>
      </c>
      <c r="G62" s="156" t="n">
        <v>0</v>
      </c>
      <c r="H62" s="114">
        <f>ROUND(F62*AO62,2)</f>
      </c>
      <c r="I62" s="114">
        <f>ROUND(F62*AP62,2)</f>
      </c>
      <c r="J62" s="114">
        <f>ROUND(F62*G62,2)</f>
      </c>
      <c r="K62" s="157" t="s">
        <v>134</v>
      </c>
      <c r="Z62" s="114">
        <f>ROUND(IF(AQ62="5",BJ62,0),2)</f>
      </c>
      <c r="AB62" s="114">
        <f>ROUND(IF(AQ62="1",BH62,0),2)</f>
      </c>
      <c r="AC62" s="114">
        <f>ROUND(IF(AQ62="1",BI62,0),2)</f>
      </c>
      <c r="AD62" s="114">
        <f>ROUND(IF(AQ62="7",BH62,0),2)</f>
      </c>
      <c r="AE62" s="114">
        <f>ROUND(IF(AQ62="7",BI62,0),2)</f>
      </c>
      <c r="AF62" s="114">
        <f>ROUND(IF(AQ62="2",BH62,0),2)</f>
      </c>
      <c r="AG62" s="114">
        <f>ROUND(IF(AQ62="2",BI62,0),2)</f>
      </c>
      <c r="AH62" s="114">
        <f>ROUND(IF(AQ62="0",BJ62,0),2)</f>
      </c>
      <c r="AI62" s="135" t="s">
        <v>88</v>
      </c>
      <c r="AJ62" s="114">
        <f>IF(AN62=0,J62,0)</f>
      </c>
      <c r="AK62" s="114">
        <f>IF(AN62=12,J62,0)</f>
      </c>
      <c r="AL62" s="114">
        <f>IF(AN62=21,J62,0)</f>
      </c>
      <c r="AN62" s="114" t="n">
        <v>21</v>
      </c>
      <c r="AO62" s="114">
        <f>G62*0.829578844</f>
      </c>
      <c r="AP62" s="114">
        <f>G62*(1-0.829578844)</f>
      </c>
      <c r="AQ62" s="158" t="s">
        <v>130</v>
      </c>
      <c r="AV62" s="114">
        <f>ROUND(AW62+AX62,2)</f>
      </c>
      <c r="AW62" s="114">
        <f>ROUND(F62*AO62,2)</f>
      </c>
      <c r="AX62" s="114">
        <f>ROUND(F62*AP62,2)</f>
      </c>
      <c r="AY62" s="158" t="s">
        <v>255</v>
      </c>
      <c r="AZ62" s="158" t="s">
        <v>223</v>
      </c>
      <c r="BA62" s="135" t="s">
        <v>137</v>
      </c>
      <c r="BC62" s="114">
        <f>AW62+AX62</f>
      </c>
      <c r="BD62" s="114">
        <f>G62/(100-BE62)*100</f>
      </c>
      <c r="BE62" s="114" t="n">
        <v>0</v>
      </c>
      <c r="BF62" s="114">
        <f>62</f>
      </c>
      <c r="BH62" s="114">
        <f>F62*AO62</f>
      </c>
      <c r="BI62" s="114">
        <f>F62*AP62</f>
      </c>
      <c r="BJ62" s="114">
        <f>F62*G62</f>
      </c>
      <c r="BK62" s="158" t="s">
        <v>138</v>
      </c>
      <c r="BL62" s="114" t="n">
        <v>57</v>
      </c>
      <c r="BW62" s="114" t="n">
        <v>21</v>
      </c>
      <c r="BX62" s="14" t="s">
        <v>258</v>
      </c>
    </row>
    <row r="63">
      <c r="A63" s="150" t="s">
        <v>10</v>
      </c>
      <c r="B63" s="151" t="s">
        <v>259</v>
      </c>
      <c r="C63" s="152" t="s">
        <v>260</v>
      </c>
      <c r="D63" s="151"/>
      <c r="E63" s="153" t="s">
        <v>81</v>
      </c>
      <c r="F63" s="153" t="s">
        <v>81</v>
      </c>
      <c r="G63" s="154" t="s">
        <v>81</v>
      </c>
      <c r="H63" s="121">
        <f>SUM(H64:H66)</f>
      </c>
      <c r="I63" s="121">
        <f>SUM(I64:I66)</f>
      </c>
      <c r="J63" s="121">
        <f>SUM(J64:J66)</f>
      </c>
      <c r="K63" s="155" t="s">
        <v>10</v>
      </c>
      <c r="AI63" s="135" t="s">
        <v>88</v>
      </c>
      <c r="AS63" s="121">
        <f>SUM(AJ64:AJ66)</f>
      </c>
      <c r="AT63" s="121">
        <f>SUM(AK64:AK66)</f>
      </c>
      <c r="AU63" s="121">
        <f>SUM(AL64:AL66)</f>
      </c>
    </row>
    <row r="64">
      <c r="A64" s="9" t="s">
        <v>195</v>
      </c>
      <c r="B64" s="10" t="s">
        <v>261</v>
      </c>
      <c r="C64" s="14" t="s">
        <v>262</v>
      </c>
      <c r="D64" s="10"/>
      <c r="E64" s="10" t="s">
        <v>133</v>
      </c>
      <c r="F64" s="114" t="n">
        <v>68</v>
      </c>
      <c r="G64" s="156" t="n">
        <v>0</v>
      </c>
      <c r="H64" s="114">
        <f>ROUND(F64*AO64,2)</f>
      </c>
      <c r="I64" s="114">
        <f>ROUND(F64*AP64,2)</f>
      </c>
      <c r="J64" s="114">
        <f>ROUND(F64*G64,2)</f>
      </c>
      <c r="K64" s="157" t="s">
        <v>134</v>
      </c>
      <c r="Z64" s="114">
        <f>ROUND(IF(AQ64="5",BJ64,0),2)</f>
      </c>
      <c r="AB64" s="114">
        <f>ROUND(IF(AQ64="1",BH64,0),2)</f>
      </c>
      <c r="AC64" s="114">
        <f>ROUND(IF(AQ64="1",BI64,0),2)</f>
      </c>
      <c r="AD64" s="114">
        <f>ROUND(IF(AQ64="7",BH64,0),2)</f>
      </c>
      <c r="AE64" s="114">
        <f>ROUND(IF(AQ64="7",BI64,0),2)</f>
      </c>
      <c r="AF64" s="114">
        <f>ROUND(IF(AQ64="2",BH64,0),2)</f>
      </c>
      <c r="AG64" s="114">
        <f>ROUND(IF(AQ64="2",BI64,0),2)</f>
      </c>
      <c r="AH64" s="114">
        <f>ROUND(IF(AQ64="0",BJ64,0),2)</f>
      </c>
      <c r="AI64" s="135" t="s">
        <v>88</v>
      </c>
      <c r="AJ64" s="114">
        <f>IF(AN64=0,J64,0)</f>
      </c>
      <c r="AK64" s="114">
        <f>IF(AN64=12,J64,0)</f>
      </c>
      <c r="AL64" s="114">
        <f>IF(AN64=21,J64,0)</f>
      </c>
      <c r="AN64" s="114" t="n">
        <v>21</v>
      </c>
      <c r="AO64" s="114">
        <f>G64*0.09760095</f>
      </c>
      <c r="AP64" s="114">
        <f>G64*(1-0.09760095)</f>
      </c>
      <c r="AQ64" s="158" t="s">
        <v>130</v>
      </c>
      <c r="AV64" s="114">
        <f>ROUND(AW64+AX64,2)</f>
      </c>
      <c r="AW64" s="114">
        <f>ROUND(F64*AO64,2)</f>
      </c>
      <c r="AX64" s="114">
        <f>ROUND(F64*AP64,2)</f>
      </c>
      <c r="AY64" s="158" t="s">
        <v>263</v>
      </c>
      <c r="AZ64" s="158" t="s">
        <v>223</v>
      </c>
      <c r="BA64" s="135" t="s">
        <v>137</v>
      </c>
      <c r="BC64" s="114">
        <f>AW64+AX64</f>
      </c>
      <c r="BD64" s="114">
        <f>G64/(100-BE64)*100</f>
      </c>
      <c r="BE64" s="114" t="n">
        <v>0</v>
      </c>
      <c r="BF64" s="114">
        <f>64</f>
      </c>
      <c r="BH64" s="114">
        <f>F64*AO64</f>
      </c>
      <c r="BI64" s="114">
        <f>F64*AP64</f>
      </c>
      <c r="BJ64" s="114">
        <f>F64*G64</f>
      </c>
      <c r="BK64" s="158" t="s">
        <v>138</v>
      </c>
      <c r="BL64" s="114" t="n">
        <v>59</v>
      </c>
      <c r="BW64" s="114" t="n">
        <v>21</v>
      </c>
      <c r="BX64" s="14" t="s">
        <v>262</v>
      </c>
    </row>
    <row r="65">
      <c r="A65" s="9" t="s">
        <v>264</v>
      </c>
      <c r="B65" s="10" t="s">
        <v>265</v>
      </c>
      <c r="C65" s="14" t="s">
        <v>266</v>
      </c>
      <c r="D65" s="10"/>
      <c r="E65" s="10" t="s">
        <v>133</v>
      </c>
      <c r="F65" s="114" t="n">
        <v>18.56</v>
      </c>
      <c r="G65" s="156" t="n">
        <v>0</v>
      </c>
      <c r="H65" s="114">
        <f>ROUND(F65*AO65,2)</f>
      </c>
      <c r="I65" s="114">
        <f>ROUND(F65*AP65,2)</f>
      </c>
      <c r="J65" s="114">
        <f>ROUND(F65*G65,2)</f>
      </c>
      <c r="K65" s="157" t="s">
        <v>134</v>
      </c>
      <c r="Z65" s="114">
        <f>ROUND(IF(AQ65="5",BJ65,0),2)</f>
      </c>
      <c r="AB65" s="114">
        <f>ROUND(IF(AQ65="1",BH65,0),2)</f>
      </c>
      <c r="AC65" s="114">
        <f>ROUND(IF(AQ65="1",BI65,0),2)</f>
      </c>
      <c r="AD65" s="114">
        <f>ROUND(IF(AQ65="7",BH65,0),2)</f>
      </c>
      <c r="AE65" s="114">
        <f>ROUND(IF(AQ65="7",BI65,0),2)</f>
      </c>
      <c r="AF65" s="114">
        <f>ROUND(IF(AQ65="2",BH65,0),2)</f>
      </c>
      <c r="AG65" s="114">
        <f>ROUND(IF(AQ65="2",BI65,0),2)</f>
      </c>
      <c r="AH65" s="114">
        <f>ROUND(IF(AQ65="0",BJ65,0),2)</f>
      </c>
      <c r="AI65" s="135" t="s">
        <v>88</v>
      </c>
      <c r="AJ65" s="114">
        <f>IF(AN65=0,J65,0)</f>
      </c>
      <c r="AK65" s="114">
        <f>IF(AN65=12,J65,0)</f>
      </c>
      <c r="AL65" s="114">
        <f>IF(AN65=21,J65,0)</f>
      </c>
      <c r="AN65" s="114" t="n">
        <v>21</v>
      </c>
      <c r="AO65" s="114">
        <f>G65*0.144437382</f>
      </c>
      <c r="AP65" s="114">
        <f>G65*(1-0.144437382)</f>
      </c>
      <c r="AQ65" s="158" t="s">
        <v>130</v>
      </c>
      <c r="AV65" s="114">
        <f>ROUND(AW65+AX65,2)</f>
      </c>
      <c r="AW65" s="114">
        <f>ROUND(F65*AO65,2)</f>
      </c>
      <c r="AX65" s="114">
        <f>ROUND(F65*AP65,2)</f>
      </c>
      <c r="AY65" s="158" t="s">
        <v>263</v>
      </c>
      <c r="AZ65" s="158" t="s">
        <v>223</v>
      </c>
      <c r="BA65" s="135" t="s">
        <v>137</v>
      </c>
      <c r="BC65" s="114">
        <f>AW65+AX65</f>
      </c>
      <c r="BD65" s="114">
        <f>G65/(100-BE65)*100</f>
      </c>
      <c r="BE65" s="114" t="n">
        <v>0</v>
      </c>
      <c r="BF65" s="114">
        <f>65</f>
      </c>
      <c r="BH65" s="114">
        <f>F65*AO65</f>
      </c>
      <c r="BI65" s="114">
        <f>F65*AP65</f>
      </c>
      <c r="BJ65" s="114">
        <f>F65*G65</f>
      </c>
      <c r="BK65" s="158" t="s">
        <v>138</v>
      </c>
      <c r="BL65" s="114" t="n">
        <v>59</v>
      </c>
      <c r="BW65" s="114" t="n">
        <v>21</v>
      </c>
      <c r="BX65" s="14" t="s">
        <v>266</v>
      </c>
    </row>
    <row r="66">
      <c r="A66" s="9" t="s">
        <v>267</v>
      </c>
      <c r="B66" s="10" t="s">
        <v>268</v>
      </c>
      <c r="C66" s="14" t="s">
        <v>269</v>
      </c>
      <c r="D66" s="10"/>
      <c r="E66" s="10" t="s">
        <v>133</v>
      </c>
      <c r="F66" s="114" t="n">
        <v>61</v>
      </c>
      <c r="G66" s="156" t="n">
        <v>0</v>
      </c>
      <c r="H66" s="114">
        <f>ROUND(F66*AO66,2)</f>
      </c>
      <c r="I66" s="114">
        <f>ROUND(F66*AP66,2)</f>
      </c>
      <c r="J66" s="114">
        <f>ROUND(F66*G66,2)</f>
      </c>
      <c r="K66" s="157" t="s">
        <v>134</v>
      </c>
      <c r="Z66" s="114">
        <f>ROUND(IF(AQ66="5",BJ66,0),2)</f>
      </c>
      <c r="AB66" s="114">
        <f>ROUND(IF(AQ66="1",BH66,0),2)</f>
      </c>
      <c r="AC66" s="114">
        <f>ROUND(IF(AQ66="1",BI66,0),2)</f>
      </c>
      <c r="AD66" s="114">
        <f>ROUND(IF(AQ66="7",BH66,0),2)</f>
      </c>
      <c r="AE66" s="114">
        <f>ROUND(IF(AQ66="7",BI66,0),2)</f>
      </c>
      <c r="AF66" s="114">
        <f>ROUND(IF(AQ66="2",BH66,0),2)</f>
      </c>
      <c r="AG66" s="114">
        <f>ROUND(IF(AQ66="2",BI66,0),2)</f>
      </c>
      <c r="AH66" s="114">
        <f>ROUND(IF(AQ66="0",BJ66,0),2)</f>
      </c>
      <c r="AI66" s="135" t="s">
        <v>88</v>
      </c>
      <c r="AJ66" s="114">
        <f>IF(AN66=0,J66,0)</f>
      </c>
      <c r="AK66" s="114">
        <f>IF(AN66=12,J66,0)</f>
      </c>
      <c r="AL66" s="114">
        <f>IF(AN66=21,J66,0)</f>
      </c>
      <c r="AN66" s="114" t="n">
        <v>21</v>
      </c>
      <c r="AO66" s="114">
        <f>G66*0.053507838</f>
      </c>
      <c r="AP66" s="114">
        <f>G66*(1-0.053507838)</f>
      </c>
      <c r="AQ66" s="158" t="s">
        <v>130</v>
      </c>
      <c r="AV66" s="114">
        <f>ROUND(AW66+AX66,2)</f>
      </c>
      <c r="AW66" s="114">
        <f>ROUND(F66*AO66,2)</f>
      </c>
      <c r="AX66" s="114">
        <f>ROUND(F66*AP66,2)</f>
      </c>
      <c r="AY66" s="158" t="s">
        <v>263</v>
      </c>
      <c r="AZ66" s="158" t="s">
        <v>223</v>
      </c>
      <c r="BA66" s="135" t="s">
        <v>137</v>
      </c>
      <c r="BC66" s="114">
        <f>AW66+AX66</f>
      </c>
      <c r="BD66" s="114">
        <f>G66/(100-BE66)*100</f>
      </c>
      <c r="BE66" s="114" t="n">
        <v>0</v>
      </c>
      <c r="BF66" s="114">
        <f>66</f>
      </c>
      <c r="BH66" s="114">
        <f>F66*AO66</f>
      </c>
      <c r="BI66" s="114">
        <f>F66*AP66</f>
      </c>
      <c r="BJ66" s="114">
        <f>F66*G66</f>
      </c>
      <c r="BK66" s="158" t="s">
        <v>138</v>
      </c>
      <c r="BL66" s="114" t="n">
        <v>59</v>
      </c>
      <c r="BW66" s="114" t="n">
        <v>21</v>
      </c>
      <c r="BX66" s="14" t="s">
        <v>269</v>
      </c>
    </row>
    <row r="67">
      <c r="A67" s="150" t="s">
        <v>10</v>
      </c>
      <c r="B67" s="151" t="s">
        <v>270</v>
      </c>
      <c r="C67" s="152" t="s">
        <v>271</v>
      </c>
      <c r="D67" s="151"/>
      <c r="E67" s="153" t="s">
        <v>81</v>
      </c>
      <c r="F67" s="153" t="s">
        <v>81</v>
      </c>
      <c r="G67" s="154" t="s">
        <v>81</v>
      </c>
      <c r="H67" s="121">
        <f>SUM(H68:H68)</f>
      </c>
      <c r="I67" s="121">
        <f>SUM(I68:I68)</f>
      </c>
      <c r="J67" s="121">
        <f>SUM(J68:J68)</f>
      </c>
      <c r="K67" s="155" t="s">
        <v>10</v>
      </c>
      <c r="AI67" s="135" t="s">
        <v>88</v>
      </c>
      <c r="AS67" s="121">
        <f>SUM(AJ68:AJ68)</f>
      </c>
      <c r="AT67" s="121">
        <f>SUM(AK68:AK68)</f>
      </c>
      <c r="AU67" s="121">
        <f>SUM(AL68:AL68)</f>
      </c>
    </row>
    <row r="68">
      <c r="A68" s="9" t="s">
        <v>272</v>
      </c>
      <c r="B68" s="10" t="s">
        <v>273</v>
      </c>
      <c r="C68" s="14" t="s">
        <v>274</v>
      </c>
      <c r="D68" s="10"/>
      <c r="E68" s="10" t="s">
        <v>133</v>
      </c>
      <c r="F68" s="114" t="n">
        <v>3.15</v>
      </c>
      <c r="G68" s="156" t="n">
        <v>0</v>
      </c>
      <c r="H68" s="114">
        <f>ROUND(F68*AO68,2)</f>
      </c>
      <c r="I68" s="114">
        <f>ROUND(F68*AP68,2)</f>
      </c>
      <c r="J68" s="114">
        <f>ROUND(F68*G68,2)</f>
      </c>
      <c r="K68" s="157" t="s">
        <v>134</v>
      </c>
      <c r="Z68" s="114">
        <f>ROUND(IF(AQ68="5",BJ68,0),2)</f>
      </c>
      <c r="AB68" s="114">
        <f>ROUND(IF(AQ68="1",BH68,0),2)</f>
      </c>
      <c r="AC68" s="114">
        <f>ROUND(IF(AQ68="1",BI68,0),2)</f>
      </c>
      <c r="AD68" s="114">
        <f>ROUND(IF(AQ68="7",BH68,0),2)</f>
      </c>
      <c r="AE68" s="114">
        <f>ROUND(IF(AQ68="7",BI68,0),2)</f>
      </c>
      <c r="AF68" s="114">
        <f>ROUND(IF(AQ68="2",BH68,0),2)</f>
      </c>
      <c r="AG68" s="114">
        <f>ROUND(IF(AQ68="2",BI68,0),2)</f>
      </c>
      <c r="AH68" s="114">
        <f>ROUND(IF(AQ68="0",BJ68,0),2)</f>
      </c>
      <c r="AI68" s="135" t="s">
        <v>88</v>
      </c>
      <c r="AJ68" s="114">
        <f>IF(AN68=0,J68,0)</f>
      </c>
      <c r="AK68" s="114">
        <f>IF(AN68=12,J68,0)</f>
      </c>
      <c r="AL68" s="114">
        <f>IF(AN68=21,J68,0)</f>
      </c>
      <c r="AN68" s="114" t="n">
        <v>21</v>
      </c>
      <c r="AO68" s="114">
        <f>G68*0.460689773</f>
      </c>
      <c r="AP68" s="114">
        <f>G68*(1-0.460689773)</f>
      </c>
      <c r="AQ68" s="158" t="s">
        <v>130</v>
      </c>
      <c r="AV68" s="114">
        <f>ROUND(AW68+AX68,2)</f>
      </c>
      <c r="AW68" s="114">
        <f>ROUND(F68*AO68,2)</f>
      </c>
      <c r="AX68" s="114">
        <f>ROUND(F68*AP68,2)</f>
      </c>
      <c r="AY68" s="158" t="s">
        <v>275</v>
      </c>
      <c r="AZ68" s="158" t="s">
        <v>276</v>
      </c>
      <c r="BA68" s="135" t="s">
        <v>137</v>
      </c>
      <c r="BC68" s="114">
        <f>AW68+AX68</f>
      </c>
      <c r="BD68" s="114">
        <f>G68/(100-BE68)*100</f>
      </c>
      <c r="BE68" s="114" t="n">
        <v>0</v>
      </c>
      <c r="BF68" s="114">
        <f>68</f>
      </c>
      <c r="BH68" s="114">
        <f>F68*AO68</f>
      </c>
      <c r="BI68" s="114">
        <f>F68*AP68</f>
      </c>
      <c r="BJ68" s="114">
        <f>F68*G68</f>
      </c>
      <c r="BK68" s="158" t="s">
        <v>138</v>
      </c>
      <c r="BL68" s="114" t="n">
        <v>63</v>
      </c>
      <c r="BW68" s="114" t="n">
        <v>21</v>
      </c>
      <c r="BX68" s="14" t="s">
        <v>274</v>
      </c>
    </row>
    <row r="69" customHeight="true" ht="13.5">
      <c r="A69" s="159"/>
      <c r="B69" s="160" t="s">
        <v>155</v>
      </c>
      <c r="C69" s="161" t="s">
        <v>277</v>
      </c>
      <c r="D69" s="162"/>
      <c r="E69" s="162"/>
      <c r="F69" s="162"/>
      <c r="G69" s="163"/>
      <c r="H69" s="162"/>
      <c r="I69" s="162"/>
      <c r="J69" s="162"/>
      <c r="K69" s="164"/>
    </row>
    <row r="70">
      <c r="A70" s="150" t="s">
        <v>10</v>
      </c>
      <c r="B70" s="151" t="s">
        <v>278</v>
      </c>
      <c r="C70" s="152" t="s">
        <v>279</v>
      </c>
      <c r="D70" s="151"/>
      <c r="E70" s="153" t="s">
        <v>81</v>
      </c>
      <c r="F70" s="153" t="s">
        <v>81</v>
      </c>
      <c r="G70" s="154" t="s">
        <v>81</v>
      </c>
      <c r="H70" s="121">
        <f>SUM(H71:H72)</f>
      </c>
      <c r="I70" s="121">
        <f>SUM(I71:I72)</f>
      </c>
      <c r="J70" s="121">
        <f>SUM(J71:J72)</f>
      </c>
      <c r="K70" s="155" t="s">
        <v>10</v>
      </c>
      <c r="AI70" s="135" t="s">
        <v>88</v>
      </c>
      <c r="AS70" s="121">
        <f>SUM(AJ71:AJ72)</f>
      </c>
      <c r="AT70" s="121">
        <f>SUM(AK71:AK72)</f>
      </c>
      <c r="AU70" s="121">
        <f>SUM(AL71:AL72)</f>
      </c>
    </row>
    <row r="71">
      <c r="A71" s="9" t="s">
        <v>280</v>
      </c>
      <c r="B71" s="10" t="s">
        <v>281</v>
      </c>
      <c r="C71" s="14" t="s">
        <v>282</v>
      </c>
      <c r="D71" s="10"/>
      <c r="E71" s="10" t="s">
        <v>212</v>
      </c>
      <c r="F71" s="114" t="n">
        <v>2.1</v>
      </c>
      <c r="G71" s="156" t="n">
        <v>0</v>
      </c>
      <c r="H71" s="114">
        <f>ROUND(F71*AO71,2)</f>
      </c>
      <c r="I71" s="114">
        <f>ROUND(F71*AP71,2)</f>
      </c>
      <c r="J71" s="114">
        <f>ROUND(F71*G71,2)</f>
      </c>
      <c r="K71" s="157" t="s">
        <v>134</v>
      </c>
      <c r="Z71" s="114">
        <f>ROUND(IF(AQ71="5",BJ71,0),2)</f>
      </c>
      <c r="AB71" s="114">
        <f>ROUND(IF(AQ71="1",BH71,0),2)</f>
      </c>
      <c r="AC71" s="114">
        <f>ROUND(IF(AQ71="1",BI71,0),2)</f>
      </c>
      <c r="AD71" s="114">
        <f>ROUND(IF(AQ71="7",BH71,0),2)</f>
      </c>
      <c r="AE71" s="114">
        <f>ROUND(IF(AQ71="7",BI71,0),2)</f>
      </c>
      <c r="AF71" s="114">
        <f>ROUND(IF(AQ71="2",BH71,0),2)</f>
      </c>
      <c r="AG71" s="114">
        <f>ROUND(IF(AQ71="2",BI71,0),2)</f>
      </c>
      <c r="AH71" s="114">
        <f>ROUND(IF(AQ71="0",BJ71,0),2)</f>
      </c>
      <c r="AI71" s="135" t="s">
        <v>88</v>
      </c>
      <c r="AJ71" s="114">
        <f>IF(AN71=0,J71,0)</f>
      </c>
      <c r="AK71" s="114">
        <f>IF(AN71=12,J71,0)</f>
      </c>
      <c r="AL71" s="114">
        <f>IF(AN71=21,J71,0)</f>
      </c>
      <c r="AN71" s="114" t="n">
        <v>21</v>
      </c>
      <c r="AO71" s="114">
        <f>G71*0</f>
      </c>
      <c r="AP71" s="114">
        <f>G71*(1-0)</f>
      </c>
      <c r="AQ71" s="158" t="s">
        <v>163</v>
      </c>
      <c r="AV71" s="114">
        <f>ROUND(AW71+AX71,2)</f>
      </c>
      <c r="AW71" s="114">
        <f>ROUND(F71*AO71,2)</f>
      </c>
      <c r="AX71" s="114">
        <f>ROUND(F71*AP71,2)</f>
      </c>
      <c r="AY71" s="158" t="s">
        <v>283</v>
      </c>
      <c r="AZ71" s="158" t="s">
        <v>284</v>
      </c>
      <c r="BA71" s="135" t="s">
        <v>137</v>
      </c>
      <c r="BC71" s="114">
        <f>AW71+AX71</f>
      </c>
      <c r="BD71" s="114">
        <f>G71/(100-BE71)*100</f>
      </c>
      <c r="BE71" s="114" t="n">
        <v>0</v>
      </c>
      <c r="BF71" s="114">
        <f>71</f>
      </c>
      <c r="BH71" s="114">
        <f>F71*AO71</f>
      </c>
      <c r="BI71" s="114">
        <f>F71*AP71</f>
      </c>
      <c r="BJ71" s="114">
        <f>F71*G71</f>
      </c>
      <c r="BK71" s="158" t="s">
        <v>138</v>
      </c>
      <c r="BL71" s="114" t="n">
        <v>762</v>
      </c>
      <c r="BW71" s="114" t="n">
        <v>21</v>
      </c>
      <c r="BX71" s="14" t="s">
        <v>282</v>
      </c>
    </row>
    <row r="72">
      <c r="A72" s="9" t="s">
        <v>285</v>
      </c>
      <c r="B72" s="10" t="s">
        <v>286</v>
      </c>
      <c r="C72" s="14" t="s">
        <v>287</v>
      </c>
      <c r="D72" s="10"/>
      <c r="E72" s="10" t="s">
        <v>212</v>
      </c>
      <c r="F72" s="114" t="n">
        <v>2.1</v>
      </c>
      <c r="G72" s="156" t="n">
        <v>0</v>
      </c>
      <c r="H72" s="114">
        <f>ROUND(F72*AO72,2)</f>
      </c>
      <c r="I72" s="114">
        <f>ROUND(F72*AP72,2)</f>
      </c>
      <c r="J72" s="114">
        <f>ROUND(F72*G72,2)</f>
      </c>
      <c r="K72" s="157" t="s">
        <v>134</v>
      </c>
      <c r="Z72" s="114">
        <f>ROUND(IF(AQ72="5",BJ72,0),2)</f>
      </c>
      <c r="AB72" s="114">
        <f>ROUND(IF(AQ72="1",BH72,0),2)</f>
      </c>
      <c r="AC72" s="114">
        <f>ROUND(IF(AQ72="1",BI72,0),2)</f>
      </c>
      <c r="AD72" s="114">
        <f>ROUND(IF(AQ72="7",BH72,0),2)</f>
      </c>
      <c r="AE72" s="114">
        <f>ROUND(IF(AQ72="7",BI72,0),2)</f>
      </c>
      <c r="AF72" s="114">
        <f>ROUND(IF(AQ72="2",BH72,0),2)</f>
      </c>
      <c r="AG72" s="114">
        <f>ROUND(IF(AQ72="2",BI72,0),2)</f>
      </c>
      <c r="AH72" s="114">
        <f>ROUND(IF(AQ72="0",BJ72,0),2)</f>
      </c>
      <c r="AI72" s="135" t="s">
        <v>88</v>
      </c>
      <c r="AJ72" s="114">
        <f>IF(AN72=0,J72,0)</f>
      </c>
      <c r="AK72" s="114">
        <f>IF(AN72=12,J72,0)</f>
      </c>
      <c r="AL72" s="114">
        <f>IF(AN72=21,J72,0)</f>
      </c>
      <c r="AN72" s="114" t="n">
        <v>21</v>
      </c>
      <c r="AO72" s="114">
        <f>G72*0.041555636</f>
      </c>
      <c r="AP72" s="114">
        <f>G72*(1-0.041555636)</f>
      </c>
      <c r="AQ72" s="158" t="s">
        <v>163</v>
      </c>
      <c r="AV72" s="114">
        <f>ROUND(AW72+AX72,2)</f>
      </c>
      <c r="AW72" s="114">
        <f>ROUND(F72*AO72,2)</f>
      </c>
      <c r="AX72" s="114">
        <f>ROUND(F72*AP72,2)</f>
      </c>
      <c r="AY72" s="158" t="s">
        <v>283</v>
      </c>
      <c r="AZ72" s="158" t="s">
        <v>284</v>
      </c>
      <c r="BA72" s="135" t="s">
        <v>137</v>
      </c>
      <c r="BC72" s="114">
        <f>AW72+AX72</f>
      </c>
      <c r="BD72" s="114">
        <f>G72/(100-BE72)*100</f>
      </c>
      <c r="BE72" s="114" t="n">
        <v>0</v>
      </c>
      <c r="BF72" s="114">
        <f>72</f>
      </c>
      <c r="BH72" s="114">
        <f>F72*AO72</f>
      </c>
      <c r="BI72" s="114">
        <f>F72*AP72</f>
      </c>
      <c r="BJ72" s="114">
        <f>F72*G72</f>
      </c>
      <c r="BK72" s="158" t="s">
        <v>138</v>
      </c>
      <c r="BL72" s="114" t="n">
        <v>762</v>
      </c>
      <c r="BW72" s="114" t="n">
        <v>21</v>
      </c>
      <c r="BX72" s="14" t="s">
        <v>287</v>
      </c>
    </row>
    <row r="73">
      <c r="A73" s="150" t="s">
        <v>10</v>
      </c>
      <c r="B73" s="151" t="s">
        <v>288</v>
      </c>
      <c r="C73" s="152" t="s">
        <v>289</v>
      </c>
      <c r="D73" s="151"/>
      <c r="E73" s="153" t="s">
        <v>81</v>
      </c>
      <c r="F73" s="153" t="s">
        <v>81</v>
      </c>
      <c r="G73" s="154" t="s">
        <v>81</v>
      </c>
      <c r="H73" s="121">
        <f>SUM(H74:H80)</f>
      </c>
      <c r="I73" s="121">
        <f>SUM(I74:I80)</f>
      </c>
      <c r="J73" s="121">
        <f>SUM(J74:J80)</f>
      </c>
      <c r="K73" s="155" t="s">
        <v>10</v>
      </c>
      <c r="AI73" s="135" t="s">
        <v>88</v>
      </c>
      <c r="AS73" s="121">
        <f>SUM(AJ74:AJ80)</f>
      </c>
      <c r="AT73" s="121">
        <f>SUM(AK74:AK80)</f>
      </c>
      <c r="AU73" s="121">
        <f>SUM(AL74:AL80)</f>
      </c>
    </row>
    <row r="74">
      <c r="A74" s="9" t="s">
        <v>290</v>
      </c>
      <c r="B74" s="10" t="s">
        <v>291</v>
      </c>
      <c r="C74" s="14" t="s">
        <v>292</v>
      </c>
      <c r="D74" s="10"/>
      <c r="E74" s="10" t="s">
        <v>212</v>
      </c>
      <c r="F74" s="114" t="n">
        <v>259</v>
      </c>
      <c r="G74" s="156" t="n">
        <v>0</v>
      </c>
      <c r="H74" s="114">
        <f>ROUND(F74*AO74,2)</f>
      </c>
      <c r="I74" s="114">
        <f>ROUND(F74*AP74,2)</f>
      </c>
      <c r="J74" s="114">
        <f>ROUND(F74*G74,2)</f>
      </c>
      <c r="K74" s="157" t="s">
        <v>134</v>
      </c>
      <c r="Z74" s="114">
        <f>ROUND(IF(AQ74="5",BJ74,0),2)</f>
      </c>
      <c r="AB74" s="114">
        <f>ROUND(IF(AQ74="1",BH74,0),2)</f>
      </c>
      <c r="AC74" s="114">
        <f>ROUND(IF(AQ74="1",BI74,0),2)</f>
      </c>
      <c r="AD74" s="114">
        <f>ROUND(IF(AQ74="7",BH74,0),2)</f>
      </c>
      <c r="AE74" s="114">
        <f>ROUND(IF(AQ74="7",BI74,0),2)</f>
      </c>
      <c r="AF74" s="114">
        <f>ROUND(IF(AQ74="2",BH74,0),2)</f>
      </c>
      <c r="AG74" s="114">
        <f>ROUND(IF(AQ74="2",BI74,0),2)</f>
      </c>
      <c r="AH74" s="114">
        <f>ROUND(IF(AQ74="0",BJ74,0),2)</f>
      </c>
      <c r="AI74" s="135" t="s">
        <v>88</v>
      </c>
      <c r="AJ74" s="114">
        <f>IF(AN74=0,J74,0)</f>
      </c>
      <c r="AK74" s="114">
        <f>IF(AN74=12,J74,0)</f>
      </c>
      <c r="AL74" s="114">
        <f>IF(AN74=21,J74,0)</f>
      </c>
      <c r="AN74" s="114" t="n">
        <v>21</v>
      </c>
      <c r="AO74" s="114">
        <f>G74*0.847084061</f>
      </c>
      <c r="AP74" s="114">
        <f>G74*(1-0.847084061)</f>
      </c>
      <c r="AQ74" s="158" t="s">
        <v>130</v>
      </c>
      <c r="AV74" s="114">
        <f>ROUND(AW74+AX74,2)</f>
      </c>
      <c r="AW74" s="114">
        <f>ROUND(F74*AO74,2)</f>
      </c>
      <c r="AX74" s="114">
        <f>ROUND(F74*AP74,2)</f>
      </c>
      <c r="AY74" s="158" t="s">
        <v>293</v>
      </c>
      <c r="AZ74" s="158" t="s">
        <v>294</v>
      </c>
      <c r="BA74" s="135" t="s">
        <v>137</v>
      </c>
      <c r="BC74" s="114">
        <f>AW74+AX74</f>
      </c>
      <c r="BD74" s="114">
        <f>G74/(100-BE74)*100</f>
      </c>
      <c r="BE74" s="114" t="n">
        <v>0</v>
      </c>
      <c r="BF74" s="114">
        <f>74</f>
      </c>
      <c r="BH74" s="114">
        <f>F74*AO74</f>
      </c>
      <c r="BI74" s="114">
        <f>F74*AP74</f>
      </c>
      <c r="BJ74" s="114">
        <f>F74*G74</f>
      </c>
      <c r="BK74" s="158" t="s">
        <v>138</v>
      </c>
      <c r="BL74" s="114" t="n">
        <v>91</v>
      </c>
      <c r="BW74" s="114" t="n">
        <v>21</v>
      </c>
      <c r="BX74" s="14" t="s">
        <v>292</v>
      </c>
    </row>
    <row r="75" customHeight="true" ht="13.5">
      <c r="A75" s="159"/>
      <c r="B75" s="160" t="s">
        <v>155</v>
      </c>
      <c r="C75" s="161" t="s">
        <v>295</v>
      </c>
      <c r="D75" s="162"/>
      <c r="E75" s="162"/>
      <c r="F75" s="162"/>
      <c r="G75" s="163"/>
      <c r="H75" s="162"/>
      <c r="I75" s="162"/>
      <c r="J75" s="162"/>
      <c r="K75" s="164"/>
    </row>
    <row r="76">
      <c r="A76" s="9" t="s">
        <v>296</v>
      </c>
      <c r="B76" s="10" t="s">
        <v>297</v>
      </c>
      <c r="C76" s="14" t="s">
        <v>298</v>
      </c>
      <c r="D76" s="10"/>
      <c r="E76" s="10" t="s">
        <v>212</v>
      </c>
      <c r="F76" s="114" t="n">
        <v>14</v>
      </c>
      <c r="G76" s="156" t="n">
        <v>0</v>
      </c>
      <c r="H76" s="114">
        <f>ROUND(F76*AO76,2)</f>
      </c>
      <c r="I76" s="114">
        <f>ROUND(F76*AP76,2)</f>
      </c>
      <c r="J76" s="114">
        <f>ROUND(F76*G76,2)</f>
      </c>
      <c r="K76" s="157" t="s">
        <v>134</v>
      </c>
      <c r="Z76" s="114">
        <f>ROUND(IF(AQ76="5",BJ76,0),2)</f>
      </c>
      <c r="AB76" s="114">
        <f>ROUND(IF(AQ76="1",BH76,0),2)</f>
      </c>
      <c r="AC76" s="114">
        <f>ROUND(IF(AQ76="1",BI76,0),2)</f>
      </c>
      <c r="AD76" s="114">
        <f>ROUND(IF(AQ76="7",BH76,0),2)</f>
      </c>
      <c r="AE76" s="114">
        <f>ROUND(IF(AQ76="7",BI76,0),2)</f>
      </c>
      <c r="AF76" s="114">
        <f>ROUND(IF(AQ76="2",BH76,0),2)</f>
      </c>
      <c r="AG76" s="114">
        <f>ROUND(IF(AQ76="2",BI76,0),2)</f>
      </c>
      <c r="AH76" s="114">
        <f>ROUND(IF(AQ76="0",BJ76,0),2)</f>
      </c>
      <c r="AI76" s="135" t="s">
        <v>88</v>
      </c>
      <c r="AJ76" s="114">
        <f>IF(AN76=0,J76,0)</f>
      </c>
      <c r="AK76" s="114">
        <f>IF(AN76=12,J76,0)</f>
      </c>
      <c r="AL76" s="114">
        <f>IF(AN76=21,J76,0)</f>
      </c>
      <c r="AN76" s="114" t="n">
        <v>21</v>
      </c>
      <c r="AO76" s="114">
        <f>G76*0.757002407</f>
      </c>
      <c r="AP76" s="114">
        <f>G76*(1-0.757002407)</f>
      </c>
      <c r="AQ76" s="158" t="s">
        <v>130</v>
      </c>
      <c r="AV76" s="114">
        <f>ROUND(AW76+AX76,2)</f>
      </c>
      <c r="AW76" s="114">
        <f>ROUND(F76*AO76,2)</f>
      </c>
      <c r="AX76" s="114">
        <f>ROUND(F76*AP76,2)</f>
      </c>
      <c r="AY76" s="158" t="s">
        <v>293</v>
      </c>
      <c r="AZ76" s="158" t="s">
        <v>294</v>
      </c>
      <c r="BA76" s="135" t="s">
        <v>137</v>
      </c>
      <c r="BC76" s="114">
        <f>AW76+AX76</f>
      </c>
      <c r="BD76" s="114">
        <f>G76/(100-BE76)*100</f>
      </c>
      <c r="BE76" s="114" t="n">
        <v>0</v>
      </c>
      <c r="BF76" s="114">
        <f>76</f>
      </c>
      <c r="BH76" s="114">
        <f>F76*AO76</f>
      </c>
      <c r="BI76" s="114">
        <f>F76*AP76</f>
      </c>
      <c r="BJ76" s="114">
        <f>F76*G76</f>
      </c>
      <c r="BK76" s="158" t="s">
        <v>138</v>
      </c>
      <c r="BL76" s="114" t="n">
        <v>91</v>
      </c>
      <c r="BW76" s="114" t="n">
        <v>21</v>
      </c>
      <c r="BX76" s="14" t="s">
        <v>298</v>
      </c>
    </row>
    <row r="77" customHeight="true" ht="13.5">
      <c r="A77" s="159"/>
      <c r="B77" s="160" t="s">
        <v>155</v>
      </c>
      <c r="C77" s="161" t="s">
        <v>299</v>
      </c>
      <c r="D77" s="162"/>
      <c r="E77" s="162"/>
      <c r="F77" s="162"/>
      <c r="G77" s="163"/>
      <c r="H77" s="162"/>
      <c r="I77" s="162"/>
      <c r="J77" s="162"/>
      <c r="K77" s="164"/>
    </row>
    <row r="78">
      <c r="A78" s="9" t="s">
        <v>300</v>
      </c>
      <c r="B78" s="10" t="s">
        <v>301</v>
      </c>
      <c r="C78" s="14" t="s">
        <v>302</v>
      </c>
      <c r="D78" s="10"/>
      <c r="E78" s="10" t="s">
        <v>212</v>
      </c>
      <c r="F78" s="114" t="n">
        <v>20</v>
      </c>
      <c r="G78" s="156" t="n">
        <v>0</v>
      </c>
      <c r="H78" s="114">
        <f>ROUND(F78*AO78,2)</f>
      </c>
      <c r="I78" s="114">
        <f>ROUND(F78*AP78,2)</f>
      </c>
      <c r="J78" s="114">
        <f>ROUND(F78*G78,2)</f>
      </c>
      <c r="K78" s="157" t="s">
        <v>134</v>
      </c>
      <c r="Z78" s="114">
        <f>ROUND(IF(AQ78="5",BJ78,0),2)</f>
      </c>
      <c r="AB78" s="114">
        <f>ROUND(IF(AQ78="1",BH78,0),2)</f>
      </c>
      <c r="AC78" s="114">
        <f>ROUND(IF(AQ78="1",BI78,0),2)</f>
      </c>
      <c r="AD78" s="114">
        <f>ROUND(IF(AQ78="7",BH78,0),2)</f>
      </c>
      <c r="AE78" s="114">
        <f>ROUND(IF(AQ78="7",BI78,0),2)</f>
      </c>
      <c r="AF78" s="114">
        <f>ROUND(IF(AQ78="2",BH78,0),2)</f>
      </c>
      <c r="AG78" s="114">
        <f>ROUND(IF(AQ78="2",BI78,0),2)</f>
      </c>
      <c r="AH78" s="114">
        <f>ROUND(IF(AQ78="0",BJ78,0),2)</f>
      </c>
      <c r="AI78" s="135" t="s">
        <v>88</v>
      </c>
      <c r="AJ78" s="114">
        <f>IF(AN78=0,J78,0)</f>
      </c>
      <c r="AK78" s="114">
        <f>IF(AN78=12,J78,0)</f>
      </c>
      <c r="AL78" s="114">
        <f>IF(AN78=21,J78,0)</f>
      </c>
      <c r="AN78" s="114" t="n">
        <v>21</v>
      </c>
      <c r="AO78" s="114">
        <f>G78*0.718525055</f>
      </c>
      <c r="AP78" s="114">
        <f>G78*(1-0.718525055)</f>
      </c>
      <c r="AQ78" s="158" t="s">
        <v>130</v>
      </c>
      <c r="AV78" s="114">
        <f>ROUND(AW78+AX78,2)</f>
      </c>
      <c r="AW78" s="114">
        <f>ROUND(F78*AO78,2)</f>
      </c>
      <c r="AX78" s="114">
        <f>ROUND(F78*AP78,2)</f>
      </c>
      <c r="AY78" s="158" t="s">
        <v>293</v>
      </c>
      <c r="AZ78" s="158" t="s">
        <v>294</v>
      </c>
      <c r="BA78" s="135" t="s">
        <v>137</v>
      </c>
      <c r="BC78" s="114">
        <f>AW78+AX78</f>
      </c>
      <c r="BD78" s="114">
        <f>G78/(100-BE78)*100</f>
      </c>
      <c r="BE78" s="114" t="n">
        <v>0</v>
      </c>
      <c r="BF78" s="114">
        <f>78</f>
      </c>
      <c r="BH78" s="114">
        <f>F78*AO78</f>
      </c>
      <c r="BI78" s="114">
        <f>F78*AP78</f>
      </c>
      <c r="BJ78" s="114">
        <f>F78*G78</f>
      </c>
      <c r="BK78" s="158" t="s">
        <v>138</v>
      </c>
      <c r="BL78" s="114" t="n">
        <v>91</v>
      </c>
      <c r="BW78" s="114" t="n">
        <v>21</v>
      </c>
      <c r="BX78" s="14" t="s">
        <v>302</v>
      </c>
    </row>
    <row r="79" customHeight="true" ht="13.5">
      <c r="A79" s="159"/>
      <c r="B79" s="160" t="s">
        <v>155</v>
      </c>
      <c r="C79" s="161" t="s">
        <v>303</v>
      </c>
      <c r="D79" s="162"/>
      <c r="E79" s="162"/>
      <c r="F79" s="162"/>
      <c r="G79" s="163"/>
      <c r="H79" s="162"/>
      <c r="I79" s="162"/>
      <c r="J79" s="162"/>
      <c r="K79" s="164"/>
    </row>
    <row r="80">
      <c r="A80" s="9" t="s">
        <v>304</v>
      </c>
      <c r="B80" s="10" t="s">
        <v>305</v>
      </c>
      <c r="C80" s="14" t="s">
        <v>306</v>
      </c>
      <c r="D80" s="10"/>
      <c r="E80" s="10" t="s">
        <v>153</v>
      </c>
      <c r="F80" s="114" t="n">
        <v>11.9965</v>
      </c>
      <c r="G80" s="156" t="n">
        <v>0</v>
      </c>
      <c r="H80" s="114">
        <f>ROUND(F80*AO80,2)</f>
      </c>
      <c r="I80" s="114">
        <f>ROUND(F80*AP80,2)</f>
      </c>
      <c r="J80" s="114">
        <f>ROUND(F80*G80,2)</f>
      </c>
      <c r="K80" s="157" t="s">
        <v>134</v>
      </c>
      <c r="Z80" s="114">
        <f>ROUND(IF(AQ80="5",BJ80,0),2)</f>
      </c>
      <c r="AB80" s="114">
        <f>ROUND(IF(AQ80="1",BH80,0),2)</f>
      </c>
      <c r="AC80" s="114">
        <f>ROUND(IF(AQ80="1",BI80,0),2)</f>
      </c>
      <c r="AD80" s="114">
        <f>ROUND(IF(AQ80="7",BH80,0),2)</f>
      </c>
      <c r="AE80" s="114">
        <f>ROUND(IF(AQ80="7",BI80,0),2)</f>
      </c>
      <c r="AF80" s="114">
        <f>ROUND(IF(AQ80="2",BH80,0),2)</f>
      </c>
      <c r="AG80" s="114">
        <f>ROUND(IF(AQ80="2",BI80,0),2)</f>
      </c>
      <c r="AH80" s="114">
        <f>ROUND(IF(AQ80="0",BJ80,0),2)</f>
      </c>
      <c r="AI80" s="135" t="s">
        <v>88</v>
      </c>
      <c r="AJ80" s="114">
        <f>IF(AN80=0,J80,0)</f>
      </c>
      <c r="AK80" s="114">
        <f>IF(AN80=12,J80,0)</f>
      </c>
      <c r="AL80" s="114">
        <f>IF(AN80=21,J80,0)</f>
      </c>
      <c r="AN80" s="114" t="n">
        <v>21</v>
      </c>
      <c r="AO80" s="114">
        <f>G80*0.770199883</f>
      </c>
      <c r="AP80" s="114">
        <f>G80*(1-0.770199883)</f>
      </c>
      <c r="AQ80" s="158" t="s">
        <v>130</v>
      </c>
      <c r="AV80" s="114">
        <f>ROUND(AW80+AX80,2)</f>
      </c>
      <c r="AW80" s="114">
        <f>ROUND(F80*AO80,2)</f>
      </c>
      <c r="AX80" s="114">
        <f>ROUND(F80*AP80,2)</f>
      </c>
      <c r="AY80" s="158" t="s">
        <v>293</v>
      </c>
      <c r="AZ80" s="158" t="s">
        <v>294</v>
      </c>
      <c r="BA80" s="135" t="s">
        <v>137</v>
      </c>
      <c r="BC80" s="114">
        <f>AW80+AX80</f>
      </c>
      <c r="BD80" s="114">
        <f>G80/(100-BE80)*100</f>
      </c>
      <c r="BE80" s="114" t="n">
        <v>0</v>
      </c>
      <c r="BF80" s="114">
        <f>80</f>
      </c>
      <c r="BH80" s="114">
        <f>F80*AO80</f>
      </c>
      <c r="BI80" s="114">
        <f>F80*AP80</f>
      </c>
      <c r="BJ80" s="114">
        <f>F80*G80</f>
      </c>
      <c r="BK80" s="158" t="s">
        <v>138</v>
      </c>
      <c r="BL80" s="114" t="n">
        <v>91</v>
      </c>
      <c r="BW80" s="114" t="n">
        <v>21</v>
      </c>
      <c r="BX80" s="14" t="s">
        <v>306</v>
      </c>
    </row>
    <row r="81">
      <c r="A81" s="150" t="s">
        <v>10</v>
      </c>
      <c r="B81" s="151" t="s">
        <v>307</v>
      </c>
      <c r="C81" s="152" t="s">
        <v>308</v>
      </c>
      <c r="D81" s="151"/>
      <c r="E81" s="153" t="s">
        <v>81</v>
      </c>
      <c r="F81" s="153" t="s">
        <v>81</v>
      </c>
      <c r="G81" s="154" t="s">
        <v>81</v>
      </c>
      <c r="H81" s="121">
        <f>SUM(H82:H84)</f>
      </c>
      <c r="I81" s="121">
        <f>SUM(I82:I84)</f>
      </c>
      <c r="J81" s="121">
        <f>SUM(J82:J84)</f>
      </c>
      <c r="K81" s="155" t="s">
        <v>10</v>
      </c>
      <c r="AI81" s="135" t="s">
        <v>88</v>
      </c>
      <c r="AS81" s="121">
        <f>SUM(AJ82:AJ84)</f>
      </c>
      <c r="AT81" s="121">
        <f>SUM(AK82:AK84)</f>
      </c>
      <c r="AU81" s="121">
        <f>SUM(AL82:AL84)</f>
      </c>
    </row>
    <row r="82">
      <c r="A82" s="9" t="s">
        <v>309</v>
      </c>
      <c r="B82" s="10" t="s">
        <v>310</v>
      </c>
      <c r="C82" s="14" t="s">
        <v>311</v>
      </c>
      <c r="D82" s="10"/>
      <c r="E82" s="10" t="s">
        <v>312</v>
      </c>
      <c r="F82" s="114" t="n">
        <v>446.2</v>
      </c>
      <c r="G82" s="156" t="n">
        <v>0</v>
      </c>
      <c r="H82" s="114">
        <f>ROUND(F82*AO82,2)</f>
      </c>
      <c r="I82" s="114">
        <f>ROUND(F82*AP82,2)</f>
      </c>
      <c r="J82" s="114">
        <f>ROUND(F82*G82,2)</f>
      </c>
      <c r="K82" s="157" t="s">
        <v>134</v>
      </c>
      <c r="Z82" s="114">
        <f>ROUND(IF(AQ82="5",BJ82,0),2)</f>
      </c>
      <c r="AB82" s="114">
        <f>ROUND(IF(AQ82="1",BH82,0),2)</f>
      </c>
      <c r="AC82" s="114">
        <f>ROUND(IF(AQ82="1",BI82,0),2)</f>
      </c>
      <c r="AD82" s="114">
        <f>ROUND(IF(AQ82="7",BH82,0),2)</f>
      </c>
      <c r="AE82" s="114">
        <f>ROUND(IF(AQ82="7",BI82,0),2)</f>
      </c>
      <c r="AF82" s="114">
        <f>ROUND(IF(AQ82="2",BH82,0),2)</f>
      </c>
      <c r="AG82" s="114">
        <f>ROUND(IF(AQ82="2",BI82,0),2)</f>
      </c>
      <c r="AH82" s="114">
        <f>ROUND(IF(AQ82="0",BJ82,0),2)</f>
      </c>
      <c r="AI82" s="135" t="s">
        <v>88</v>
      </c>
      <c r="AJ82" s="114">
        <f>IF(AN82=0,J82,0)</f>
      </c>
      <c r="AK82" s="114">
        <f>IF(AN82=12,J82,0)</f>
      </c>
      <c r="AL82" s="114">
        <f>IF(AN82=21,J82,0)</f>
      </c>
      <c r="AN82" s="114" t="n">
        <v>21</v>
      </c>
      <c r="AO82" s="114">
        <f>G82*0</f>
      </c>
      <c r="AP82" s="114">
        <f>G82*(1-0)</f>
      </c>
      <c r="AQ82" s="158" t="s">
        <v>150</v>
      </c>
      <c r="AV82" s="114">
        <f>ROUND(AW82+AX82,2)</f>
      </c>
      <c r="AW82" s="114">
        <f>ROUND(F82*AO82,2)</f>
      </c>
      <c r="AX82" s="114">
        <f>ROUND(F82*AP82,2)</f>
      </c>
      <c r="AY82" s="158" t="s">
        <v>313</v>
      </c>
      <c r="AZ82" s="158" t="s">
        <v>294</v>
      </c>
      <c r="BA82" s="135" t="s">
        <v>137</v>
      </c>
      <c r="BC82" s="114">
        <f>AW82+AX82</f>
      </c>
      <c r="BD82" s="114">
        <f>G82/(100-BE82)*100</f>
      </c>
      <c r="BE82" s="114" t="n">
        <v>0</v>
      </c>
      <c r="BF82" s="114">
        <f>82</f>
      </c>
      <c r="BH82" s="114">
        <f>F82*AO82</f>
      </c>
      <c r="BI82" s="114">
        <f>F82*AP82</f>
      </c>
      <c r="BJ82" s="114">
        <f>F82*G82</f>
      </c>
      <c r="BK82" s="158" t="s">
        <v>138</v>
      </c>
      <c r="BL82" s="114"/>
      <c r="BW82" s="114" t="n">
        <v>21</v>
      </c>
      <c r="BX82" s="14" t="s">
        <v>311</v>
      </c>
    </row>
    <row r="83" customHeight="true" ht="13.5">
      <c r="A83" s="159"/>
      <c r="B83" s="160" t="s">
        <v>155</v>
      </c>
      <c r="C83" s="161" t="s">
        <v>314</v>
      </c>
      <c r="D83" s="162"/>
      <c r="E83" s="162"/>
      <c r="F83" s="162"/>
      <c r="G83" s="163"/>
      <c r="H83" s="162"/>
      <c r="I83" s="162"/>
      <c r="J83" s="162"/>
      <c r="K83" s="164"/>
    </row>
    <row r="84">
      <c r="A84" s="9" t="s">
        <v>315</v>
      </c>
      <c r="B84" s="10" t="s">
        <v>316</v>
      </c>
      <c r="C84" s="14" t="s">
        <v>317</v>
      </c>
      <c r="D84" s="10"/>
      <c r="E84" s="10" t="s">
        <v>312</v>
      </c>
      <c r="F84" s="114" t="n">
        <v>892.4</v>
      </c>
      <c r="G84" s="156" t="n">
        <v>0</v>
      </c>
      <c r="H84" s="114">
        <f>ROUND(F84*AO84,2)</f>
      </c>
      <c r="I84" s="114">
        <f>ROUND(F84*AP84,2)</f>
      </c>
      <c r="J84" s="114">
        <f>ROUND(F84*G84,2)</f>
      </c>
      <c r="K84" s="157" t="s">
        <v>134</v>
      </c>
      <c r="Z84" s="114">
        <f>ROUND(IF(AQ84="5",BJ84,0),2)</f>
      </c>
      <c r="AB84" s="114">
        <f>ROUND(IF(AQ84="1",BH84,0),2)</f>
      </c>
      <c r="AC84" s="114">
        <f>ROUND(IF(AQ84="1",BI84,0),2)</f>
      </c>
      <c r="AD84" s="114">
        <f>ROUND(IF(AQ84="7",BH84,0),2)</f>
      </c>
      <c r="AE84" s="114">
        <f>ROUND(IF(AQ84="7",BI84,0),2)</f>
      </c>
      <c r="AF84" s="114">
        <f>ROUND(IF(AQ84="2",BH84,0),2)</f>
      </c>
      <c r="AG84" s="114">
        <f>ROUND(IF(AQ84="2",BI84,0),2)</f>
      </c>
      <c r="AH84" s="114">
        <f>ROUND(IF(AQ84="0",BJ84,0),2)</f>
      </c>
      <c r="AI84" s="135" t="s">
        <v>88</v>
      </c>
      <c r="AJ84" s="114">
        <f>IF(AN84=0,J84,0)</f>
      </c>
      <c r="AK84" s="114">
        <f>IF(AN84=12,J84,0)</f>
      </c>
      <c r="AL84" s="114">
        <f>IF(AN84=21,J84,0)</f>
      </c>
      <c r="AN84" s="114" t="n">
        <v>21</v>
      </c>
      <c r="AO84" s="114">
        <f>G84*0</f>
      </c>
      <c r="AP84" s="114">
        <f>G84*(1-0)</f>
      </c>
      <c r="AQ84" s="158" t="s">
        <v>150</v>
      </c>
      <c r="AV84" s="114">
        <f>ROUND(AW84+AX84,2)</f>
      </c>
      <c r="AW84" s="114">
        <f>ROUND(F84*AO84,2)</f>
      </c>
      <c r="AX84" s="114">
        <f>ROUND(F84*AP84,2)</f>
      </c>
      <c r="AY84" s="158" t="s">
        <v>313</v>
      </c>
      <c r="AZ84" s="158" t="s">
        <v>294</v>
      </c>
      <c r="BA84" s="135" t="s">
        <v>137</v>
      </c>
      <c r="BC84" s="114">
        <f>AW84+AX84</f>
      </c>
      <c r="BD84" s="114">
        <f>G84/(100-BE84)*100</f>
      </c>
      <c r="BE84" s="114" t="n">
        <v>0</v>
      </c>
      <c r="BF84" s="114">
        <f>84</f>
      </c>
      <c r="BH84" s="114">
        <f>F84*AO84</f>
      </c>
      <c r="BI84" s="114">
        <f>F84*AP84</f>
      </c>
      <c r="BJ84" s="114">
        <f>F84*G84</f>
      </c>
      <c r="BK84" s="158" t="s">
        <v>138</v>
      </c>
      <c r="BL84" s="114"/>
      <c r="BW84" s="114" t="n">
        <v>21</v>
      </c>
      <c r="BX84" s="14" t="s">
        <v>317</v>
      </c>
    </row>
    <row r="85" customHeight="true" ht="13.5">
      <c r="A85" s="159"/>
      <c r="B85" s="160" t="s">
        <v>155</v>
      </c>
      <c r="C85" s="161" t="s">
        <v>314</v>
      </c>
      <c r="D85" s="162"/>
      <c r="E85" s="162"/>
      <c r="F85" s="162"/>
      <c r="G85" s="163"/>
      <c r="H85" s="162"/>
      <c r="I85" s="162"/>
      <c r="J85" s="162"/>
      <c r="K85" s="164"/>
    </row>
    <row r="86">
      <c r="A86" s="150" t="s">
        <v>10</v>
      </c>
      <c r="B86" s="151" t="s">
        <v>318</v>
      </c>
      <c r="C86" s="152" t="s">
        <v>319</v>
      </c>
      <c r="D86" s="151"/>
      <c r="E86" s="153" t="s">
        <v>81</v>
      </c>
      <c r="F86" s="153" t="s">
        <v>81</v>
      </c>
      <c r="G86" s="154" t="s">
        <v>81</v>
      </c>
      <c r="H86" s="121">
        <f>SUM(H87:H87)</f>
      </c>
      <c r="I86" s="121">
        <f>SUM(I87:I87)</f>
      </c>
      <c r="J86" s="121">
        <f>SUM(J87:J87)</f>
      </c>
      <c r="K86" s="155" t="s">
        <v>10</v>
      </c>
      <c r="AI86" s="135" t="s">
        <v>88</v>
      </c>
      <c r="AS86" s="121">
        <f>SUM(AJ87:AJ87)</f>
      </c>
      <c r="AT86" s="121">
        <f>SUM(AK87:AK87)</f>
      </c>
      <c r="AU86" s="121">
        <f>SUM(AL87:AL87)</f>
      </c>
    </row>
    <row r="87">
      <c r="A87" s="9" t="s">
        <v>320</v>
      </c>
      <c r="B87" s="10" t="s">
        <v>321</v>
      </c>
      <c r="C87" s="14" t="s">
        <v>322</v>
      </c>
      <c r="D87" s="10"/>
      <c r="E87" s="10" t="s">
        <v>212</v>
      </c>
      <c r="F87" s="114" t="n">
        <v>10</v>
      </c>
      <c r="G87" s="156" t="n">
        <v>0</v>
      </c>
      <c r="H87" s="114">
        <f>ROUND(F87*AO87,2)</f>
      </c>
      <c r="I87" s="114">
        <f>ROUND(F87*AP87,2)</f>
      </c>
      <c r="J87" s="114">
        <f>ROUND(F87*G87,2)</f>
      </c>
      <c r="K87" s="157" t="s">
        <v>134</v>
      </c>
      <c r="Z87" s="114">
        <f>ROUND(IF(AQ87="5",BJ87,0),2)</f>
      </c>
      <c r="AB87" s="114">
        <f>ROUND(IF(AQ87="1",BH87,0),2)</f>
      </c>
      <c r="AC87" s="114">
        <f>ROUND(IF(AQ87="1",BI87,0),2)</f>
      </c>
      <c r="AD87" s="114">
        <f>ROUND(IF(AQ87="7",BH87,0),2)</f>
      </c>
      <c r="AE87" s="114">
        <f>ROUND(IF(AQ87="7",BI87,0),2)</f>
      </c>
      <c r="AF87" s="114">
        <f>ROUND(IF(AQ87="2",BH87,0),2)</f>
      </c>
      <c r="AG87" s="114">
        <f>ROUND(IF(AQ87="2",BI87,0),2)</f>
      </c>
      <c r="AH87" s="114">
        <f>ROUND(IF(AQ87="0",BJ87,0),2)</f>
      </c>
      <c r="AI87" s="135" t="s">
        <v>88</v>
      </c>
      <c r="AJ87" s="114">
        <f>IF(AN87=0,J87,0)</f>
      </c>
      <c r="AK87" s="114">
        <f>IF(AN87=12,J87,0)</f>
      </c>
      <c r="AL87" s="114">
        <f>IF(AN87=21,J87,0)</f>
      </c>
      <c r="AN87" s="114" t="n">
        <v>21</v>
      </c>
      <c r="AO87" s="114">
        <f>G87*0.7748</f>
      </c>
      <c r="AP87" s="114">
        <f>G87*(1-0.7748)</f>
      </c>
      <c r="AQ87" s="158" t="s">
        <v>139</v>
      </c>
      <c r="AV87" s="114">
        <f>ROUND(AW87+AX87,2)</f>
      </c>
      <c r="AW87" s="114">
        <f>ROUND(F87*AO87,2)</f>
      </c>
      <c r="AX87" s="114">
        <f>ROUND(F87*AP87,2)</f>
      </c>
      <c r="AY87" s="158" t="s">
        <v>323</v>
      </c>
      <c r="AZ87" s="158" t="s">
        <v>294</v>
      </c>
      <c r="BA87" s="135" t="s">
        <v>137</v>
      </c>
      <c r="BC87" s="114">
        <f>AW87+AX87</f>
      </c>
      <c r="BD87" s="114">
        <f>G87/(100-BE87)*100</f>
      </c>
      <c r="BE87" s="114" t="n">
        <v>0</v>
      </c>
      <c r="BF87" s="114">
        <f>87</f>
      </c>
      <c r="BH87" s="114">
        <f>F87*AO87</f>
      </c>
      <c r="BI87" s="114">
        <f>F87*AP87</f>
      </c>
      <c r="BJ87" s="114">
        <f>F87*G87</f>
      </c>
      <c r="BK87" s="158" t="s">
        <v>138</v>
      </c>
      <c r="BL87" s="114"/>
      <c r="BW87" s="114" t="n">
        <v>21</v>
      </c>
      <c r="BX87" s="14" t="s">
        <v>322</v>
      </c>
    </row>
    <row r="88" customHeight="true" ht="13.5">
      <c r="A88" s="159"/>
      <c r="B88" s="160" t="s">
        <v>155</v>
      </c>
      <c r="C88" s="161" t="s">
        <v>324</v>
      </c>
      <c r="D88" s="162"/>
      <c r="E88" s="162"/>
      <c r="F88" s="162"/>
      <c r="G88" s="163"/>
      <c r="H88" s="162"/>
      <c r="I88" s="162"/>
      <c r="J88" s="162"/>
      <c r="K88" s="164"/>
    </row>
    <row r="89">
      <c r="A89" s="150" t="s">
        <v>10</v>
      </c>
      <c r="B89" s="151" t="s">
        <v>325</v>
      </c>
      <c r="C89" s="152" t="s">
        <v>326</v>
      </c>
      <c r="D89" s="151"/>
      <c r="E89" s="153" t="s">
        <v>81</v>
      </c>
      <c r="F89" s="153" t="s">
        <v>81</v>
      </c>
      <c r="G89" s="154" t="s">
        <v>81</v>
      </c>
      <c r="H89" s="121">
        <f>SUM(H90:H90)</f>
      </c>
      <c r="I89" s="121">
        <f>SUM(I90:I90)</f>
      </c>
      <c r="J89" s="121">
        <f>SUM(J90:J90)</f>
      </c>
      <c r="K89" s="155" t="s">
        <v>10</v>
      </c>
      <c r="AI89" s="135" t="s">
        <v>88</v>
      </c>
      <c r="AS89" s="121">
        <f>SUM(AJ90:AJ90)</f>
      </c>
      <c r="AT89" s="121">
        <f>SUM(AK90:AK90)</f>
      </c>
      <c r="AU89" s="121">
        <f>SUM(AL90:AL90)</f>
      </c>
    </row>
    <row r="90">
      <c r="A90" s="9" t="s">
        <v>327</v>
      </c>
      <c r="B90" s="10" t="s">
        <v>328</v>
      </c>
      <c r="C90" s="14" t="s">
        <v>329</v>
      </c>
      <c r="D90" s="10"/>
      <c r="E90" s="10" t="s">
        <v>212</v>
      </c>
      <c r="F90" s="114" t="n">
        <v>10</v>
      </c>
      <c r="G90" s="156" t="n">
        <v>0</v>
      </c>
      <c r="H90" s="114">
        <f>ROUND(F90*AO90,2)</f>
      </c>
      <c r="I90" s="114">
        <f>ROUND(F90*AP90,2)</f>
      </c>
      <c r="J90" s="114">
        <f>ROUND(F90*G90,2)</f>
      </c>
      <c r="K90" s="157" t="s">
        <v>134</v>
      </c>
      <c r="Z90" s="114">
        <f>ROUND(IF(AQ90="5",BJ90,0),2)</f>
      </c>
      <c r="AB90" s="114">
        <f>ROUND(IF(AQ90="1",BH90,0),2)</f>
      </c>
      <c r="AC90" s="114">
        <f>ROUND(IF(AQ90="1",BI90,0),2)</f>
      </c>
      <c r="AD90" s="114">
        <f>ROUND(IF(AQ90="7",BH90,0),2)</f>
      </c>
      <c r="AE90" s="114">
        <f>ROUND(IF(AQ90="7",BI90,0),2)</f>
      </c>
      <c r="AF90" s="114">
        <f>ROUND(IF(AQ90="2",BH90,0),2)</f>
      </c>
      <c r="AG90" s="114">
        <f>ROUND(IF(AQ90="2",BI90,0),2)</f>
      </c>
      <c r="AH90" s="114">
        <f>ROUND(IF(AQ90="0",BJ90,0),2)</f>
      </c>
      <c r="AI90" s="135" t="s">
        <v>88</v>
      </c>
      <c r="AJ90" s="114">
        <f>IF(AN90=0,J90,0)</f>
      </c>
      <c r="AK90" s="114">
        <f>IF(AN90=12,J90,0)</f>
      </c>
      <c r="AL90" s="114">
        <f>IF(AN90=21,J90,0)</f>
      </c>
      <c r="AN90" s="114" t="n">
        <v>21</v>
      </c>
      <c r="AO90" s="114">
        <f>G90*0</f>
      </c>
      <c r="AP90" s="114">
        <f>G90*(1-0)</f>
      </c>
      <c r="AQ90" s="158" t="s">
        <v>139</v>
      </c>
      <c r="AV90" s="114">
        <f>ROUND(AW90+AX90,2)</f>
      </c>
      <c r="AW90" s="114">
        <f>ROUND(F90*AO90,2)</f>
      </c>
      <c r="AX90" s="114">
        <f>ROUND(F90*AP90,2)</f>
      </c>
      <c r="AY90" s="158" t="s">
        <v>330</v>
      </c>
      <c r="AZ90" s="158" t="s">
        <v>294</v>
      </c>
      <c r="BA90" s="135" t="s">
        <v>137</v>
      </c>
      <c r="BC90" s="114">
        <f>AW90+AX90</f>
      </c>
      <c r="BD90" s="114">
        <f>G90/(100-BE90)*100</f>
      </c>
      <c r="BE90" s="114" t="n">
        <v>0</v>
      </c>
      <c r="BF90" s="114">
        <f>90</f>
      </c>
      <c r="BH90" s="114">
        <f>F90*AO90</f>
      </c>
      <c r="BI90" s="114">
        <f>F90*AP90</f>
      </c>
      <c r="BJ90" s="114">
        <f>F90*G90</f>
      </c>
      <c r="BK90" s="158" t="s">
        <v>138</v>
      </c>
      <c r="BL90" s="114"/>
      <c r="BW90" s="114" t="n">
        <v>21</v>
      </c>
      <c r="BX90" s="14" t="s">
        <v>329</v>
      </c>
    </row>
    <row r="91">
      <c r="A91" s="150" t="s">
        <v>10</v>
      </c>
      <c r="B91" s="151" t="s">
        <v>331</v>
      </c>
      <c r="C91" s="152" t="s">
        <v>332</v>
      </c>
      <c r="D91" s="151"/>
      <c r="E91" s="153" t="s">
        <v>81</v>
      </c>
      <c r="F91" s="153" t="s">
        <v>81</v>
      </c>
      <c r="G91" s="154" t="s">
        <v>81</v>
      </c>
      <c r="H91" s="121">
        <f>SUM(H92:H98)</f>
      </c>
      <c r="I91" s="121">
        <f>SUM(I92:I98)</f>
      </c>
      <c r="J91" s="121">
        <f>SUM(J92:J98)</f>
      </c>
      <c r="K91" s="155" t="s">
        <v>10</v>
      </c>
      <c r="AI91" s="135" t="s">
        <v>88</v>
      </c>
      <c r="AS91" s="121">
        <f>SUM(AJ92:AJ98)</f>
      </c>
      <c r="AT91" s="121">
        <f>SUM(AK92:AK98)</f>
      </c>
      <c r="AU91" s="121">
        <f>SUM(AL92:AL98)</f>
      </c>
    </row>
    <row r="92">
      <c r="A92" s="9" t="s">
        <v>333</v>
      </c>
      <c r="B92" s="10" t="s">
        <v>334</v>
      </c>
      <c r="C92" s="14" t="s">
        <v>335</v>
      </c>
      <c r="D92" s="10"/>
      <c r="E92" s="10" t="s">
        <v>153</v>
      </c>
      <c r="F92" s="114" t="n">
        <v>45.75</v>
      </c>
      <c r="G92" s="156" t="n">
        <v>0</v>
      </c>
      <c r="H92" s="114">
        <f>ROUND(F92*AO92,2)</f>
      </c>
      <c r="I92" s="114">
        <f>ROUND(F92*AP92,2)</f>
      </c>
      <c r="J92" s="114">
        <f>ROUND(F92*G92,2)</f>
      </c>
      <c r="K92" s="157" t="s">
        <v>134</v>
      </c>
      <c r="Z92" s="114">
        <f>ROUND(IF(AQ92="5",BJ92,0),2)</f>
      </c>
      <c r="AB92" s="114">
        <f>ROUND(IF(AQ92="1",BH92,0),2)</f>
      </c>
      <c r="AC92" s="114">
        <f>ROUND(IF(AQ92="1",BI92,0),2)</f>
      </c>
      <c r="AD92" s="114">
        <f>ROUND(IF(AQ92="7",BH92,0),2)</f>
      </c>
      <c r="AE92" s="114">
        <f>ROUND(IF(AQ92="7",BI92,0),2)</f>
      </c>
      <c r="AF92" s="114">
        <f>ROUND(IF(AQ92="2",BH92,0),2)</f>
      </c>
      <c r="AG92" s="114">
        <f>ROUND(IF(AQ92="2",BI92,0),2)</f>
      </c>
      <c r="AH92" s="114">
        <f>ROUND(IF(AQ92="0",BJ92,0),2)</f>
      </c>
      <c r="AI92" s="135" t="s">
        <v>88</v>
      </c>
      <c r="AJ92" s="114">
        <f>IF(AN92=0,J92,0)</f>
      </c>
      <c r="AK92" s="114">
        <f>IF(AN92=12,J92,0)</f>
      </c>
      <c r="AL92" s="114">
        <f>IF(AN92=21,J92,0)</f>
      </c>
      <c r="AN92" s="114" t="n">
        <v>21</v>
      </c>
      <c r="AO92" s="114">
        <f>G92*0</f>
      </c>
      <c r="AP92" s="114">
        <f>G92*(1-0)</f>
      </c>
      <c r="AQ92" s="158" t="s">
        <v>139</v>
      </c>
      <c r="AV92" s="114">
        <f>ROUND(AW92+AX92,2)</f>
      </c>
      <c r="AW92" s="114">
        <f>ROUND(F92*AO92,2)</f>
      </c>
      <c r="AX92" s="114">
        <f>ROUND(F92*AP92,2)</f>
      </c>
      <c r="AY92" s="158" t="s">
        <v>336</v>
      </c>
      <c r="AZ92" s="158" t="s">
        <v>294</v>
      </c>
      <c r="BA92" s="135" t="s">
        <v>137</v>
      </c>
      <c r="BC92" s="114">
        <f>AW92+AX92</f>
      </c>
      <c r="BD92" s="114">
        <f>G92/(100-BE92)*100</f>
      </c>
      <c r="BE92" s="114" t="n">
        <v>0</v>
      </c>
      <c r="BF92" s="114">
        <f>92</f>
      </c>
      <c r="BH92" s="114">
        <f>F92*AO92</f>
      </c>
      <c r="BI92" s="114">
        <f>F92*AP92</f>
      </c>
      <c r="BJ92" s="114">
        <f>F92*G92</f>
      </c>
      <c r="BK92" s="158" t="s">
        <v>138</v>
      </c>
      <c r="BL92" s="114"/>
      <c r="BW92" s="114" t="n">
        <v>21</v>
      </c>
      <c r="BX92" s="14" t="s">
        <v>335</v>
      </c>
    </row>
    <row r="93" customHeight="true" ht="27">
      <c r="A93" s="159"/>
      <c r="B93" s="160" t="s">
        <v>155</v>
      </c>
      <c r="C93" s="161" t="s">
        <v>337</v>
      </c>
      <c r="D93" s="162"/>
      <c r="E93" s="162"/>
      <c r="F93" s="162"/>
      <c r="G93" s="163"/>
      <c r="H93" s="162"/>
      <c r="I93" s="162"/>
      <c r="J93" s="162"/>
      <c r="K93" s="164"/>
    </row>
    <row r="94">
      <c r="A94" s="9" t="s">
        <v>201</v>
      </c>
      <c r="B94" s="10" t="s">
        <v>338</v>
      </c>
      <c r="C94" s="14" t="s">
        <v>339</v>
      </c>
      <c r="D94" s="10"/>
      <c r="E94" s="10" t="s">
        <v>133</v>
      </c>
      <c r="F94" s="114" t="n">
        <v>30.25</v>
      </c>
      <c r="G94" s="156" t="n">
        <v>0</v>
      </c>
      <c r="H94" s="114">
        <f>ROUND(F94*AO94,2)</f>
      </c>
      <c r="I94" s="114">
        <f>ROUND(F94*AP94,2)</f>
      </c>
      <c r="J94" s="114">
        <f>ROUND(F94*G94,2)</f>
      </c>
      <c r="K94" s="157" t="s">
        <v>134</v>
      </c>
      <c r="Z94" s="114">
        <f>ROUND(IF(AQ94="5",BJ94,0),2)</f>
      </c>
      <c r="AB94" s="114">
        <f>ROUND(IF(AQ94="1",BH94,0),2)</f>
      </c>
      <c r="AC94" s="114">
        <f>ROUND(IF(AQ94="1",BI94,0),2)</f>
      </c>
      <c r="AD94" s="114">
        <f>ROUND(IF(AQ94="7",BH94,0),2)</f>
      </c>
      <c r="AE94" s="114">
        <f>ROUND(IF(AQ94="7",BI94,0),2)</f>
      </c>
      <c r="AF94" s="114">
        <f>ROUND(IF(AQ94="2",BH94,0),2)</f>
      </c>
      <c r="AG94" s="114">
        <f>ROUND(IF(AQ94="2",BI94,0),2)</f>
      </c>
      <c r="AH94" s="114">
        <f>ROUND(IF(AQ94="0",BJ94,0),2)</f>
      </c>
      <c r="AI94" s="135" t="s">
        <v>88</v>
      </c>
      <c r="AJ94" s="114">
        <f>IF(AN94=0,J94,0)</f>
      </c>
      <c r="AK94" s="114">
        <f>IF(AN94=12,J94,0)</f>
      </c>
      <c r="AL94" s="114">
        <f>IF(AN94=21,J94,0)</f>
      </c>
      <c r="AN94" s="114" t="n">
        <v>21</v>
      </c>
      <c r="AO94" s="114">
        <f>G94*0.72907424</f>
      </c>
      <c r="AP94" s="114">
        <f>G94*(1-0.72907424)</f>
      </c>
      <c r="AQ94" s="158" t="s">
        <v>139</v>
      </c>
      <c r="AV94" s="114">
        <f>ROUND(AW94+AX94,2)</f>
      </c>
      <c r="AW94" s="114">
        <f>ROUND(F94*AO94,2)</f>
      </c>
      <c r="AX94" s="114">
        <f>ROUND(F94*AP94,2)</f>
      </c>
      <c r="AY94" s="158" t="s">
        <v>336</v>
      </c>
      <c r="AZ94" s="158" t="s">
        <v>294</v>
      </c>
      <c r="BA94" s="135" t="s">
        <v>137</v>
      </c>
      <c r="BC94" s="114">
        <f>AW94+AX94</f>
      </c>
      <c r="BD94" s="114">
        <f>G94/(100-BE94)*100</f>
      </c>
      <c r="BE94" s="114" t="n">
        <v>0</v>
      </c>
      <c r="BF94" s="114">
        <f>94</f>
      </c>
      <c r="BH94" s="114">
        <f>F94*AO94</f>
      </c>
      <c r="BI94" s="114">
        <f>F94*AP94</f>
      </c>
      <c r="BJ94" s="114">
        <f>F94*G94</f>
      </c>
      <c r="BK94" s="158" t="s">
        <v>138</v>
      </c>
      <c r="BL94" s="114"/>
      <c r="BW94" s="114" t="n">
        <v>21</v>
      </c>
      <c r="BX94" s="14" t="s">
        <v>339</v>
      </c>
    </row>
    <row r="95" customHeight="true" ht="13.5">
      <c r="A95" s="159"/>
      <c r="B95" s="160" t="s">
        <v>155</v>
      </c>
      <c r="C95" s="161" t="s">
        <v>340</v>
      </c>
      <c r="D95" s="162"/>
      <c r="E95" s="162"/>
      <c r="F95" s="162"/>
      <c r="G95" s="163"/>
      <c r="H95" s="162"/>
      <c r="I95" s="162"/>
      <c r="J95" s="162"/>
      <c r="K95" s="164"/>
    </row>
    <row r="96">
      <c r="A96" s="9" t="s">
        <v>341</v>
      </c>
      <c r="B96" s="10" t="s">
        <v>338</v>
      </c>
      <c r="C96" s="14" t="s">
        <v>339</v>
      </c>
      <c r="D96" s="10"/>
      <c r="E96" s="10" t="s">
        <v>133</v>
      </c>
      <c r="F96" s="114" t="n">
        <v>94</v>
      </c>
      <c r="G96" s="156" t="n">
        <v>0</v>
      </c>
      <c r="H96" s="114">
        <f>ROUND(F96*AO96,2)</f>
      </c>
      <c r="I96" s="114">
        <f>ROUND(F96*AP96,2)</f>
      </c>
      <c r="J96" s="114">
        <f>ROUND(F96*G96,2)</f>
      </c>
      <c r="K96" s="157" t="s">
        <v>134</v>
      </c>
      <c r="Z96" s="114">
        <f>ROUND(IF(AQ96="5",BJ96,0),2)</f>
      </c>
      <c r="AB96" s="114">
        <f>ROUND(IF(AQ96="1",BH96,0),2)</f>
      </c>
      <c r="AC96" s="114">
        <f>ROUND(IF(AQ96="1",BI96,0),2)</f>
      </c>
      <c r="AD96" s="114">
        <f>ROUND(IF(AQ96="7",BH96,0),2)</f>
      </c>
      <c r="AE96" s="114">
        <f>ROUND(IF(AQ96="7",BI96,0),2)</f>
      </c>
      <c r="AF96" s="114">
        <f>ROUND(IF(AQ96="2",BH96,0),2)</f>
      </c>
      <c r="AG96" s="114">
        <f>ROUND(IF(AQ96="2",BI96,0),2)</f>
      </c>
      <c r="AH96" s="114">
        <f>ROUND(IF(AQ96="0",BJ96,0),2)</f>
      </c>
      <c r="AI96" s="135" t="s">
        <v>88</v>
      </c>
      <c r="AJ96" s="114">
        <f>IF(AN96=0,J96,0)</f>
      </c>
      <c r="AK96" s="114">
        <f>IF(AN96=12,J96,0)</f>
      </c>
      <c r="AL96" s="114">
        <f>IF(AN96=21,J96,0)</f>
      </c>
      <c r="AN96" s="114" t="n">
        <v>21</v>
      </c>
      <c r="AO96" s="114">
        <f>G96*0.729074355</f>
      </c>
      <c r="AP96" s="114">
        <f>G96*(1-0.729074355)</f>
      </c>
      <c r="AQ96" s="158" t="s">
        <v>139</v>
      </c>
      <c r="AV96" s="114">
        <f>ROUND(AW96+AX96,2)</f>
      </c>
      <c r="AW96" s="114">
        <f>ROUND(F96*AO96,2)</f>
      </c>
      <c r="AX96" s="114">
        <f>ROUND(F96*AP96,2)</f>
      </c>
      <c r="AY96" s="158" t="s">
        <v>336</v>
      </c>
      <c r="AZ96" s="158" t="s">
        <v>294</v>
      </c>
      <c r="BA96" s="135" t="s">
        <v>137</v>
      </c>
      <c r="BC96" s="114">
        <f>AW96+AX96</f>
      </c>
      <c r="BD96" s="114">
        <f>G96/(100-BE96)*100</f>
      </c>
      <c r="BE96" s="114" t="n">
        <v>0</v>
      </c>
      <c r="BF96" s="114">
        <f>96</f>
      </c>
      <c r="BH96" s="114">
        <f>F96*AO96</f>
      </c>
      <c r="BI96" s="114">
        <f>F96*AP96</f>
      </c>
      <c r="BJ96" s="114">
        <f>F96*G96</f>
      </c>
      <c r="BK96" s="158" t="s">
        <v>138</v>
      </c>
      <c r="BL96" s="114"/>
      <c r="BW96" s="114" t="n">
        <v>21</v>
      </c>
      <c r="BX96" s="14" t="s">
        <v>339</v>
      </c>
    </row>
    <row r="97" customHeight="true" ht="13.5">
      <c r="A97" s="159"/>
      <c r="B97" s="160" t="s">
        <v>155</v>
      </c>
      <c r="C97" s="161" t="s">
        <v>342</v>
      </c>
      <c r="D97" s="162"/>
      <c r="E97" s="162"/>
      <c r="F97" s="162"/>
      <c r="G97" s="163"/>
      <c r="H97" s="162"/>
      <c r="I97" s="162"/>
      <c r="J97" s="162"/>
      <c r="K97" s="164"/>
    </row>
    <row r="98">
      <c r="A98" s="9" t="s">
        <v>208</v>
      </c>
      <c r="B98" s="10" t="s">
        <v>343</v>
      </c>
      <c r="C98" s="14" t="s">
        <v>344</v>
      </c>
      <c r="D98" s="10"/>
      <c r="E98" s="10" t="s">
        <v>212</v>
      </c>
      <c r="F98" s="114" t="n">
        <v>10</v>
      </c>
      <c r="G98" s="156" t="n">
        <v>0</v>
      </c>
      <c r="H98" s="114">
        <f>ROUND(F98*AO98,2)</f>
      </c>
      <c r="I98" s="114">
        <f>ROUND(F98*AP98,2)</f>
      </c>
      <c r="J98" s="114">
        <f>ROUND(F98*G98,2)</f>
      </c>
      <c r="K98" s="157" t="s">
        <v>134</v>
      </c>
      <c r="Z98" s="114">
        <f>ROUND(IF(AQ98="5",BJ98,0),2)</f>
      </c>
      <c r="AB98" s="114">
        <f>ROUND(IF(AQ98="1",BH98,0),2)</f>
      </c>
      <c r="AC98" s="114">
        <f>ROUND(IF(AQ98="1",BI98,0),2)</f>
      </c>
      <c r="AD98" s="114">
        <f>ROUND(IF(AQ98="7",BH98,0),2)</f>
      </c>
      <c r="AE98" s="114">
        <f>ROUND(IF(AQ98="7",BI98,0),2)</f>
      </c>
      <c r="AF98" s="114">
        <f>ROUND(IF(AQ98="2",BH98,0),2)</f>
      </c>
      <c r="AG98" s="114">
        <f>ROUND(IF(AQ98="2",BI98,0),2)</f>
      </c>
      <c r="AH98" s="114">
        <f>ROUND(IF(AQ98="0",BJ98,0),2)</f>
      </c>
      <c r="AI98" s="135" t="s">
        <v>88</v>
      </c>
      <c r="AJ98" s="114">
        <f>IF(AN98=0,J98,0)</f>
      </c>
      <c r="AK98" s="114">
        <f>IF(AN98=12,J98,0)</f>
      </c>
      <c r="AL98" s="114">
        <f>IF(AN98=21,J98,0)</f>
      </c>
      <c r="AN98" s="114" t="n">
        <v>21</v>
      </c>
      <c r="AO98" s="114">
        <f>G98*0.60753012</f>
      </c>
      <c r="AP98" s="114">
        <f>G98*(1-0.60753012)</f>
      </c>
      <c r="AQ98" s="158" t="s">
        <v>139</v>
      </c>
      <c r="AV98" s="114">
        <f>ROUND(AW98+AX98,2)</f>
      </c>
      <c r="AW98" s="114">
        <f>ROUND(F98*AO98,2)</f>
      </c>
      <c r="AX98" s="114">
        <f>ROUND(F98*AP98,2)</f>
      </c>
      <c r="AY98" s="158" t="s">
        <v>336</v>
      </c>
      <c r="AZ98" s="158" t="s">
        <v>294</v>
      </c>
      <c r="BA98" s="135" t="s">
        <v>137</v>
      </c>
      <c r="BC98" s="114">
        <f>AW98+AX98</f>
      </c>
      <c r="BD98" s="114">
        <f>G98/(100-BE98)*100</f>
      </c>
      <c r="BE98" s="114" t="n">
        <v>0</v>
      </c>
      <c r="BF98" s="114">
        <f>98</f>
      </c>
      <c r="BH98" s="114">
        <f>F98*AO98</f>
      </c>
      <c r="BI98" s="114">
        <f>F98*AP98</f>
      </c>
      <c r="BJ98" s="114">
        <f>F98*G98</f>
      </c>
      <c r="BK98" s="158" t="s">
        <v>138</v>
      </c>
      <c r="BL98" s="114"/>
      <c r="BW98" s="114" t="n">
        <v>21</v>
      </c>
      <c r="BX98" s="14" t="s">
        <v>344</v>
      </c>
    </row>
    <row r="99" customHeight="true" ht="13.5">
      <c r="A99" s="159"/>
      <c r="B99" s="160" t="s">
        <v>155</v>
      </c>
      <c r="C99" s="161" t="s">
        <v>345</v>
      </c>
      <c r="D99" s="162"/>
      <c r="E99" s="162"/>
      <c r="F99" s="162"/>
      <c r="G99" s="163"/>
      <c r="H99" s="162"/>
      <c r="I99" s="162"/>
      <c r="J99" s="162"/>
      <c r="K99" s="164"/>
    </row>
    <row r="100">
      <c r="A100" s="150" t="s">
        <v>10</v>
      </c>
      <c r="B100" s="151" t="s">
        <v>346</v>
      </c>
      <c r="C100" s="152" t="s">
        <v>347</v>
      </c>
      <c r="D100" s="151"/>
      <c r="E100" s="153" t="s">
        <v>81</v>
      </c>
      <c r="F100" s="153" t="s">
        <v>81</v>
      </c>
      <c r="G100" s="154" t="s">
        <v>81</v>
      </c>
      <c r="H100" s="121">
        <f>SUM(H101:H101)</f>
      </c>
      <c r="I100" s="121">
        <f>SUM(I101:I101)</f>
      </c>
      <c r="J100" s="121">
        <f>SUM(J101:J101)</f>
      </c>
      <c r="K100" s="155" t="s">
        <v>10</v>
      </c>
      <c r="AI100" s="135" t="s">
        <v>88</v>
      </c>
      <c r="AS100" s="121">
        <f>SUM(AJ101:AJ101)</f>
      </c>
      <c r="AT100" s="121">
        <f>SUM(AK101:AK101)</f>
      </c>
      <c r="AU100" s="121">
        <f>SUM(AL101:AL101)</f>
      </c>
    </row>
    <row r="101">
      <c r="A101" s="9" t="s">
        <v>348</v>
      </c>
      <c r="B101" s="10" t="s">
        <v>349</v>
      </c>
      <c r="C101" s="14" t="s">
        <v>350</v>
      </c>
      <c r="D101" s="10"/>
      <c r="E101" s="10" t="s">
        <v>312</v>
      </c>
      <c r="F101" s="114" t="n">
        <v>35.929</v>
      </c>
      <c r="G101" s="156" t="n">
        <v>0</v>
      </c>
      <c r="H101" s="114">
        <f>ROUND(F101*AO101,2)</f>
      </c>
      <c r="I101" s="114">
        <f>ROUND(F101*AP101,2)</f>
      </c>
      <c r="J101" s="114">
        <f>ROUND(F101*G101,2)</f>
      </c>
      <c r="K101" s="157" t="s">
        <v>134</v>
      </c>
      <c r="Z101" s="114">
        <f>ROUND(IF(AQ101="5",BJ101,0),2)</f>
      </c>
      <c r="AB101" s="114">
        <f>ROUND(IF(AQ101="1",BH101,0),2)</f>
      </c>
      <c r="AC101" s="114">
        <f>ROUND(IF(AQ101="1",BI101,0),2)</f>
      </c>
      <c r="AD101" s="114">
        <f>ROUND(IF(AQ101="7",BH101,0),2)</f>
      </c>
      <c r="AE101" s="114">
        <f>ROUND(IF(AQ101="7",BI101,0),2)</f>
      </c>
      <c r="AF101" s="114">
        <f>ROUND(IF(AQ101="2",BH101,0),2)</f>
      </c>
      <c r="AG101" s="114">
        <f>ROUND(IF(AQ101="2",BI101,0),2)</f>
      </c>
      <c r="AH101" s="114">
        <f>ROUND(IF(AQ101="0",BJ101,0),2)</f>
      </c>
      <c r="AI101" s="135" t="s">
        <v>88</v>
      </c>
      <c r="AJ101" s="114">
        <f>IF(AN101=0,J101,0)</f>
      </c>
      <c r="AK101" s="114">
        <f>IF(AN101=12,J101,0)</f>
      </c>
      <c r="AL101" s="114">
        <f>IF(AN101=21,J101,0)</f>
      </c>
      <c r="AN101" s="114" t="n">
        <v>21</v>
      </c>
      <c r="AO101" s="114">
        <f>G101*0</f>
      </c>
      <c r="AP101" s="114">
        <f>G101*(1-0)</f>
      </c>
      <c r="AQ101" s="158" t="s">
        <v>150</v>
      </c>
      <c r="AV101" s="114">
        <f>ROUND(AW101+AX101,2)</f>
      </c>
      <c r="AW101" s="114">
        <f>ROUND(F101*AO101,2)</f>
      </c>
      <c r="AX101" s="114">
        <f>ROUND(F101*AP101,2)</f>
      </c>
      <c r="AY101" s="158" t="s">
        <v>351</v>
      </c>
      <c r="AZ101" s="158" t="s">
        <v>294</v>
      </c>
      <c r="BA101" s="135" t="s">
        <v>137</v>
      </c>
      <c r="BC101" s="114">
        <f>AW101+AX101</f>
      </c>
      <c r="BD101" s="114">
        <f>G101/(100-BE101)*100</f>
      </c>
      <c r="BE101" s="114" t="n">
        <v>0</v>
      </c>
      <c r="BF101" s="114">
        <f>101</f>
      </c>
      <c r="BH101" s="114">
        <f>F101*AO101</f>
      </c>
      <c r="BI101" s="114">
        <f>F101*AP101</f>
      </c>
      <c r="BJ101" s="114">
        <f>F101*G101</f>
      </c>
      <c r="BK101" s="158" t="s">
        <v>138</v>
      </c>
      <c r="BL101" s="114"/>
      <c r="BW101" s="114" t="n">
        <v>21</v>
      </c>
      <c r="BX101" s="14" t="s">
        <v>350</v>
      </c>
    </row>
    <row r="102">
      <c r="A102" s="150" t="s">
        <v>10</v>
      </c>
      <c r="B102" s="151" t="s">
        <v>352</v>
      </c>
      <c r="C102" s="152" t="s">
        <v>38</v>
      </c>
      <c r="D102" s="151"/>
      <c r="E102" s="153" t="s">
        <v>81</v>
      </c>
      <c r="F102" s="153" t="s">
        <v>81</v>
      </c>
      <c r="G102" s="154" t="s">
        <v>81</v>
      </c>
      <c r="H102" s="121">
        <f>SUM(H103:H111)</f>
      </c>
      <c r="I102" s="121">
        <f>SUM(I103:I111)</f>
      </c>
      <c r="J102" s="121">
        <f>SUM(J103:J111)</f>
      </c>
      <c r="K102" s="155" t="s">
        <v>10</v>
      </c>
      <c r="AI102" s="135" t="s">
        <v>88</v>
      </c>
      <c r="AS102" s="121">
        <f>SUM(AJ103:AJ111)</f>
      </c>
      <c r="AT102" s="121">
        <f>SUM(AK103:AK111)</f>
      </c>
      <c r="AU102" s="121">
        <f>SUM(AL103:AL111)</f>
      </c>
    </row>
    <row r="103">
      <c r="A103" s="9" t="s">
        <v>353</v>
      </c>
      <c r="B103" s="10" t="s">
        <v>354</v>
      </c>
      <c r="C103" s="14" t="s">
        <v>355</v>
      </c>
      <c r="D103" s="10"/>
      <c r="E103" s="10" t="s">
        <v>133</v>
      </c>
      <c r="F103" s="114" t="n">
        <v>62.22</v>
      </c>
      <c r="G103" s="156" t="n">
        <v>0</v>
      </c>
      <c r="H103" s="114">
        <f>ROUND(F103*AO103,2)</f>
      </c>
      <c r="I103" s="114">
        <f>ROUND(F103*AP103,2)</f>
      </c>
      <c r="J103" s="114">
        <f>ROUND(F103*G103,2)</f>
      </c>
      <c r="K103" s="157" t="s">
        <v>134</v>
      </c>
      <c r="Z103" s="114">
        <f>ROUND(IF(AQ103="5",BJ103,0),2)</f>
      </c>
      <c r="AB103" s="114">
        <f>ROUND(IF(AQ103="1",BH103,0),2)</f>
      </c>
      <c r="AC103" s="114">
        <f>ROUND(IF(AQ103="1",BI103,0),2)</f>
      </c>
      <c r="AD103" s="114">
        <f>ROUND(IF(AQ103="7",BH103,0),2)</f>
      </c>
      <c r="AE103" s="114">
        <f>ROUND(IF(AQ103="7",BI103,0),2)</f>
      </c>
      <c r="AF103" s="114">
        <f>ROUND(IF(AQ103="2",BH103,0),2)</f>
      </c>
      <c r="AG103" s="114">
        <f>ROUND(IF(AQ103="2",BI103,0),2)</f>
      </c>
      <c r="AH103" s="114">
        <f>ROUND(IF(AQ103="0",BJ103,0),2)</f>
      </c>
      <c r="AI103" s="135" t="s">
        <v>88</v>
      </c>
      <c r="AJ103" s="114">
        <f>IF(AN103=0,J103,0)</f>
      </c>
      <c r="AK103" s="114">
        <f>IF(AN103=12,J103,0)</f>
      </c>
      <c r="AL103" s="114">
        <f>IF(AN103=21,J103,0)</f>
      </c>
      <c r="AN103" s="114" t="n">
        <v>21</v>
      </c>
      <c r="AO103" s="114">
        <f>G103*1</f>
      </c>
      <c r="AP103" s="114">
        <f>G103*(1-1)</f>
      </c>
      <c r="AQ103" s="158" t="s">
        <v>356</v>
      </c>
      <c r="AV103" s="114">
        <f>ROUND(AW103+AX103,2)</f>
      </c>
      <c r="AW103" s="114">
        <f>ROUND(F103*AO103,2)</f>
      </c>
      <c r="AX103" s="114">
        <f>ROUND(F103*AP103,2)</f>
      </c>
      <c r="AY103" s="158" t="s">
        <v>357</v>
      </c>
      <c r="AZ103" s="158" t="s">
        <v>358</v>
      </c>
      <c r="BA103" s="135" t="s">
        <v>137</v>
      </c>
      <c r="BC103" s="114">
        <f>AW103+AX103</f>
      </c>
      <c r="BD103" s="114">
        <f>G103/(100-BE103)*100</f>
      </c>
      <c r="BE103" s="114" t="n">
        <v>0</v>
      </c>
      <c r="BF103" s="114">
        <f>103</f>
      </c>
      <c r="BH103" s="114">
        <f>F103*AO103</f>
      </c>
      <c r="BI103" s="114">
        <f>F103*AP103</f>
      </c>
      <c r="BJ103" s="114">
        <f>F103*G103</f>
      </c>
      <c r="BK103" s="158" t="s">
        <v>352</v>
      </c>
      <c r="BL103" s="114"/>
      <c r="BW103" s="114" t="n">
        <v>21</v>
      </c>
      <c r="BX103" s="14" t="s">
        <v>355</v>
      </c>
    </row>
    <row r="104">
      <c r="A104" s="9" t="s">
        <v>359</v>
      </c>
      <c r="B104" s="10" t="s">
        <v>360</v>
      </c>
      <c r="C104" s="14" t="s">
        <v>361</v>
      </c>
      <c r="D104" s="10"/>
      <c r="E104" s="10" t="s">
        <v>133</v>
      </c>
      <c r="F104" s="114" t="n">
        <v>21.42</v>
      </c>
      <c r="G104" s="156" t="n">
        <v>0</v>
      </c>
      <c r="H104" s="114">
        <f>ROUND(F104*AO104,2)</f>
      </c>
      <c r="I104" s="114">
        <f>ROUND(F104*AP104,2)</f>
      </c>
      <c r="J104" s="114">
        <f>ROUND(F104*G104,2)</f>
      </c>
      <c r="K104" s="157" t="s">
        <v>134</v>
      </c>
      <c r="Z104" s="114">
        <f>ROUND(IF(AQ104="5",BJ104,0),2)</f>
      </c>
      <c r="AB104" s="114">
        <f>ROUND(IF(AQ104="1",BH104,0),2)</f>
      </c>
      <c r="AC104" s="114">
        <f>ROUND(IF(AQ104="1",BI104,0),2)</f>
      </c>
      <c r="AD104" s="114">
        <f>ROUND(IF(AQ104="7",BH104,0),2)</f>
      </c>
      <c r="AE104" s="114">
        <f>ROUND(IF(AQ104="7",BI104,0),2)</f>
      </c>
      <c r="AF104" s="114">
        <f>ROUND(IF(AQ104="2",BH104,0),2)</f>
      </c>
      <c r="AG104" s="114">
        <f>ROUND(IF(AQ104="2",BI104,0),2)</f>
      </c>
      <c r="AH104" s="114">
        <f>ROUND(IF(AQ104="0",BJ104,0),2)</f>
      </c>
      <c r="AI104" s="135" t="s">
        <v>88</v>
      </c>
      <c r="AJ104" s="114">
        <f>IF(AN104=0,J104,0)</f>
      </c>
      <c r="AK104" s="114">
        <f>IF(AN104=12,J104,0)</f>
      </c>
      <c r="AL104" s="114">
        <f>IF(AN104=21,J104,0)</f>
      </c>
      <c r="AN104" s="114" t="n">
        <v>21</v>
      </c>
      <c r="AO104" s="114">
        <f>G104*1</f>
      </c>
      <c r="AP104" s="114">
        <f>G104*(1-1)</f>
      </c>
      <c r="AQ104" s="158" t="s">
        <v>356</v>
      </c>
      <c r="AV104" s="114">
        <f>ROUND(AW104+AX104,2)</f>
      </c>
      <c r="AW104" s="114">
        <f>ROUND(F104*AO104,2)</f>
      </c>
      <c r="AX104" s="114">
        <f>ROUND(F104*AP104,2)</f>
      </c>
      <c r="AY104" s="158" t="s">
        <v>357</v>
      </c>
      <c r="AZ104" s="158" t="s">
        <v>358</v>
      </c>
      <c r="BA104" s="135" t="s">
        <v>137</v>
      </c>
      <c r="BC104" s="114">
        <f>AW104+AX104</f>
      </c>
      <c r="BD104" s="114">
        <f>G104/(100-BE104)*100</f>
      </c>
      <c r="BE104" s="114" t="n">
        <v>0</v>
      </c>
      <c r="BF104" s="114">
        <f>104</f>
      </c>
      <c r="BH104" s="114">
        <f>F104*AO104</f>
      </c>
      <c r="BI104" s="114">
        <f>F104*AP104</f>
      </c>
      <c r="BJ104" s="114">
        <f>F104*G104</f>
      </c>
      <c r="BK104" s="158" t="s">
        <v>352</v>
      </c>
      <c r="BL104" s="114"/>
      <c r="BW104" s="114" t="n">
        <v>21</v>
      </c>
      <c r="BX104" s="14" t="s">
        <v>361</v>
      </c>
    </row>
    <row r="105">
      <c r="A105" s="9" t="s">
        <v>362</v>
      </c>
      <c r="B105" s="10" t="s">
        <v>363</v>
      </c>
      <c r="C105" s="14" t="s">
        <v>364</v>
      </c>
      <c r="D105" s="10"/>
      <c r="E105" s="10" t="s">
        <v>133</v>
      </c>
      <c r="F105" s="114" t="n">
        <v>3.564</v>
      </c>
      <c r="G105" s="156" t="n">
        <v>0</v>
      </c>
      <c r="H105" s="114">
        <f>ROUND(F105*AO105,2)</f>
      </c>
      <c r="I105" s="114">
        <f>ROUND(F105*AP105,2)</f>
      </c>
      <c r="J105" s="114">
        <f>ROUND(F105*G105,2)</f>
      </c>
      <c r="K105" s="157" t="s">
        <v>134</v>
      </c>
      <c r="Z105" s="114">
        <f>ROUND(IF(AQ105="5",BJ105,0),2)</f>
      </c>
      <c r="AB105" s="114">
        <f>ROUND(IF(AQ105="1",BH105,0),2)</f>
      </c>
      <c r="AC105" s="114">
        <f>ROUND(IF(AQ105="1",BI105,0),2)</f>
      </c>
      <c r="AD105" s="114">
        <f>ROUND(IF(AQ105="7",BH105,0),2)</f>
      </c>
      <c r="AE105" s="114">
        <f>ROUND(IF(AQ105="7",BI105,0),2)</f>
      </c>
      <c r="AF105" s="114">
        <f>ROUND(IF(AQ105="2",BH105,0),2)</f>
      </c>
      <c r="AG105" s="114">
        <f>ROUND(IF(AQ105="2",BI105,0),2)</f>
      </c>
      <c r="AH105" s="114">
        <f>ROUND(IF(AQ105="0",BJ105,0),2)</f>
      </c>
      <c r="AI105" s="135" t="s">
        <v>88</v>
      </c>
      <c r="AJ105" s="114">
        <f>IF(AN105=0,J105,0)</f>
      </c>
      <c r="AK105" s="114">
        <f>IF(AN105=12,J105,0)</f>
      </c>
      <c r="AL105" s="114">
        <f>IF(AN105=21,J105,0)</f>
      </c>
      <c r="AN105" s="114" t="n">
        <v>21</v>
      </c>
      <c r="AO105" s="114">
        <f>G105*1</f>
      </c>
      <c r="AP105" s="114">
        <f>G105*(1-1)</f>
      </c>
      <c r="AQ105" s="158" t="s">
        <v>356</v>
      </c>
      <c r="AV105" s="114">
        <f>ROUND(AW105+AX105,2)</f>
      </c>
      <c r="AW105" s="114">
        <f>ROUND(F105*AO105,2)</f>
      </c>
      <c r="AX105" s="114">
        <f>ROUND(F105*AP105,2)</f>
      </c>
      <c r="AY105" s="158" t="s">
        <v>357</v>
      </c>
      <c r="AZ105" s="158" t="s">
        <v>358</v>
      </c>
      <c r="BA105" s="135" t="s">
        <v>137</v>
      </c>
      <c r="BC105" s="114">
        <f>AW105+AX105</f>
      </c>
      <c r="BD105" s="114">
        <f>G105/(100-BE105)*100</f>
      </c>
      <c r="BE105" s="114" t="n">
        <v>0</v>
      </c>
      <c r="BF105" s="114">
        <f>105</f>
      </c>
      <c r="BH105" s="114">
        <f>F105*AO105</f>
      </c>
      <c r="BI105" s="114">
        <f>F105*AP105</f>
      </c>
      <c r="BJ105" s="114">
        <f>F105*G105</f>
      </c>
      <c r="BK105" s="158" t="s">
        <v>352</v>
      </c>
      <c r="BL105" s="114"/>
      <c r="BW105" s="114" t="n">
        <v>21</v>
      </c>
      <c r="BX105" s="14" t="s">
        <v>364</v>
      </c>
    </row>
    <row r="106">
      <c r="A106" s="9" t="s">
        <v>365</v>
      </c>
      <c r="B106" s="10" t="s">
        <v>366</v>
      </c>
      <c r="C106" s="14" t="s">
        <v>367</v>
      </c>
      <c r="D106" s="10"/>
      <c r="E106" s="10" t="s">
        <v>230</v>
      </c>
      <c r="F106" s="114" t="n">
        <v>10</v>
      </c>
      <c r="G106" s="156" t="n">
        <v>0</v>
      </c>
      <c r="H106" s="114">
        <f>ROUND(F106*AO106,2)</f>
      </c>
      <c r="I106" s="114">
        <f>ROUND(F106*AP106,2)</f>
      </c>
      <c r="J106" s="114">
        <f>ROUND(F106*G106,2)</f>
      </c>
      <c r="K106" s="157" t="s">
        <v>134</v>
      </c>
      <c r="Z106" s="114">
        <f>ROUND(IF(AQ106="5",BJ106,0),2)</f>
      </c>
      <c r="AB106" s="114">
        <f>ROUND(IF(AQ106="1",BH106,0),2)</f>
      </c>
      <c r="AC106" s="114">
        <f>ROUND(IF(AQ106="1",BI106,0),2)</f>
      </c>
      <c r="AD106" s="114">
        <f>ROUND(IF(AQ106="7",BH106,0),2)</f>
      </c>
      <c r="AE106" s="114">
        <f>ROUND(IF(AQ106="7",BI106,0),2)</f>
      </c>
      <c r="AF106" s="114">
        <f>ROUND(IF(AQ106="2",BH106,0),2)</f>
      </c>
      <c r="AG106" s="114">
        <f>ROUND(IF(AQ106="2",BI106,0),2)</f>
      </c>
      <c r="AH106" s="114">
        <f>ROUND(IF(AQ106="0",BJ106,0),2)</f>
      </c>
      <c r="AI106" s="135" t="s">
        <v>88</v>
      </c>
      <c r="AJ106" s="114">
        <f>IF(AN106=0,J106,0)</f>
      </c>
      <c r="AK106" s="114">
        <f>IF(AN106=12,J106,0)</f>
      </c>
      <c r="AL106" s="114">
        <f>IF(AN106=21,J106,0)</f>
      </c>
      <c r="AN106" s="114" t="n">
        <v>21</v>
      </c>
      <c r="AO106" s="114">
        <f>G106*1</f>
      </c>
      <c r="AP106" s="114">
        <f>G106*(1-1)</f>
      </c>
      <c r="AQ106" s="158" t="s">
        <v>356</v>
      </c>
      <c r="AV106" s="114">
        <f>ROUND(AW106+AX106,2)</f>
      </c>
      <c r="AW106" s="114">
        <f>ROUND(F106*AO106,2)</f>
      </c>
      <c r="AX106" s="114">
        <f>ROUND(F106*AP106,2)</f>
      </c>
      <c r="AY106" s="158" t="s">
        <v>357</v>
      </c>
      <c r="AZ106" s="158" t="s">
        <v>358</v>
      </c>
      <c r="BA106" s="135" t="s">
        <v>137</v>
      </c>
      <c r="BC106" s="114">
        <f>AW106+AX106</f>
      </c>
      <c r="BD106" s="114">
        <f>G106/(100-BE106)*100</f>
      </c>
      <c r="BE106" s="114" t="n">
        <v>0</v>
      </c>
      <c r="BF106" s="114">
        <f>106</f>
      </c>
      <c r="BH106" s="114">
        <f>F106*AO106</f>
      </c>
      <c r="BI106" s="114">
        <f>F106*AP106</f>
      </c>
      <c r="BJ106" s="114">
        <f>F106*G106</f>
      </c>
      <c r="BK106" s="158" t="s">
        <v>352</v>
      </c>
      <c r="BL106" s="114"/>
      <c r="BW106" s="114" t="n">
        <v>21</v>
      </c>
      <c r="BX106" s="14" t="s">
        <v>367</v>
      </c>
    </row>
    <row r="107" customHeight="true" ht="13.5">
      <c r="A107" s="159"/>
      <c r="B107" s="160" t="s">
        <v>58</v>
      </c>
      <c r="C107" s="161" t="s">
        <v>368</v>
      </c>
      <c r="D107" s="162"/>
      <c r="E107" s="162"/>
      <c r="F107" s="162"/>
      <c r="G107" s="163"/>
      <c r="H107" s="162"/>
      <c r="I107" s="162"/>
      <c r="J107" s="162"/>
      <c r="K107" s="164"/>
    </row>
    <row r="108">
      <c r="A108" s="9" t="s">
        <v>217</v>
      </c>
      <c r="B108" s="10" t="s">
        <v>369</v>
      </c>
      <c r="C108" s="14" t="s">
        <v>370</v>
      </c>
      <c r="D108" s="10"/>
      <c r="E108" s="10" t="s">
        <v>312</v>
      </c>
      <c r="F108" s="114" t="n">
        <v>24.888</v>
      </c>
      <c r="G108" s="156" t="n">
        <v>0</v>
      </c>
      <c r="H108" s="114">
        <f>ROUND(F108*AO108,2)</f>
      </c>
      <c r="I108" s="114">
        <f>ROUND(F108*AP108,2)</f>
      </c>
      <c r="J108" s="114">
        <f>ROUND(F108*G108,2)</f>
      </c>
      <c r="K108" s="157" t="s">
        <v>134</v>
      </c>
      <c r="Z108" s="114">
        <f>ROUND(IF(AQ108="5",BJ108,0),2)</f>
      </c>
      <c r="AB108" s="114">
        <f>ROUND(IF(AQ108="1",BH108,0),2)</f>
      </c>
      <c r="AC108" s="114">
        <f>ROUND(IF(AQ108="1",BI108,0),2)</f>
      </c>
      <c r="AD108" s="114">
        <f>ROUND(IF(AQ108="7",BH108,0),2)</f>
      </c>
      <c r="AE108" s="114">
        <f>ROUND(IF(AQ108="7",BI108,0),2)</f>
      </c>
      <c r="AF108" s="114">
        <f>ROUND(IF(AQ108="2",BH108,0),2)</f>
      </c>
      <c r="AG108" s="114">
        <f>ROUND(IF(AQ108="2",BI108,0),2)</f>
      </c>
      <c r="AH108" s="114">
        <f>ROUND(IF(AQ108="0",BJ108,0),2)</f>
      </c>
      <c r="AI108" s="135" t="s">
        <v>88</v>
      </c>
      <c r="AJ108" s="114">
        <f>IF(AN108=0,J108,0)</f>
      </c>
      <c r="AK108" s="114">
        <f>IF(AN108=12,J108,0)</f>
      </c>
      <c r="AL108" s="114">
        <f>IF(AN108=21,J108,0)</f>
      </c>
      <c r="AN108" s="114" t="n">
        <v>21</v>
      </c>
      <c r="AO108" s="114">
        <f>G108*1</f>
      </c>
      <c r="AP108" s="114">
        <f>G108*(1-1)</f>
      </c>
      <c r="AQ108" s="158" t="s">
        <v>356</v>
      </c>
      <c r="AV108" s="114">
        <f>ROUND(AW108+AX108,2)</f>
      </c>
      <c r="AW108" s="114">
        <f>ROUND(F108*AO108,2)</f>
      </c>
      <c r="AX108" s="114">
        <f>ROUND(F108*AP108,2)</f>
      </c>
      <c r="AY108" s="158" t="s">
        <v>357</v>
      </c>
      <c r="AZ108" s="158" t="s">
        <v>358</v>
      </c>
      <c r="BA108" s="135" t="s">
        <v>137</v>
      </c>
      <c r="BC108" s="114">
        <f>AW108+AX108</f>
      </c>
      <c r="BD108" s="114">
        <f>G108/(100-BE108)*100</f>
      </c>
      <c r="BE108" s="114" t="n">
        <v>0</v>
      </c>
      <c r="BF108" s="114">
        <f>108</f>
      </c>
      <c r="BH108" s="114">
        <f>F108*AO108</f>
      </c>
      <c r="BI108" s="114">
        <f>F108*AP108</f>
      </c>
      <c r="BJ108" s="114">
        <f>F108*G108</f>
      </c>
      <c r="BK108" s="158" t="s">
        <v>352</v>
      </c>
      <c r="BL108" s="114"/>
      <c r="BW108" s="114" t="n">
        <v>21</v>
      </c>
      <c r="BX108" s="14" t="s">
        <v>370</v>
      </c>
    </row>
    <row r="109">
      <c r="A109" s="9" t="s">
        <v>371</v>
      </c>
      <c r="B109" s="10" t="s">
        <v>372</v>
      </c>
      <c r="C109" s="14" t="s">
        <v>373</v>
      </c>
      <c r="D109" s="10"/>
      <c r="E109" s="10" t="s">
        <v>133</v>
      </c>
      <c r="F109" s="114" t="n">
        <v>124</v>
      </c>
      <c r="G109" s="156" t="n">
        <v>0</v>
      </c>
      <c r="H109" s="114">
        <f>ROUND(F109*AO109,2)</f>
      </c>
      <c r="I109" s="114">
        <f>ROUND(F109*AP109,2)</f>
      </c>
      <c r="J109" s="114">
        <f>ROUND(F109*G109,2)</f>
      </c>
      <c r="K109" s="157" t="s">
        <v>134</v>
      </c>
      <c r="Z109" s="114">
        <f>ROUND(IF(AQ109="5",BJ109,0),2)</f>
      </c>
      <c r="AB109" s="114">
        <f>ROUND(IF(AQ109="1",BH109,0),2)</f>
      </c>
      <c r="AC109" s="114">
        <f>ROUND(IF(AQ109="1",BI109,0),2)</f>
      </c>
      <c r="AD109" s="114">
        <f>ROUND(IF(AQ109="7",BH109,0),2)</f>
      </c>
      <c r="AE109" s="114">
        <f>ROUND(IF(AQ109="7",BI109,0),2)</f>
      </c>
      <c r="AF109" s="114">
        <f>ROUND(IF(AQ109="2",BH109,0),2)</f>
      </c>
      <c r="AG109" s="114">
        <f>ROUND(IF(AQ109="2",BI109,0),2)</f>
      </c>
      <c r="AH109" s="114">
        <f>ROUND(IF(AQ109="0",BJ109,0),2)</f>
      </c>
      <c r="AI109" s="135" t="s">
        <v>88</v>
      </c>
      <c r="AJ109" s="114">
        <f>IF(AN109=0,J109,0)</f>
      </c>
      <c r="AK109" s="114">
        <f>IF(AN109=12,J109,0)</f>
      </c>
      <c r="AL109" s="114">
        <f>IF(AN109=21,J109,0)</f>
      </c>
      <c r="AN109" s="114" t="n">
        <v>21</v>
      </c>
      <c r="AO109" s="114">
        <f>G109*1</f>
      </c>
      <c r="AP109" s="114">
        <f>G109*(1-1)</f>
      </c>
      <c r="AQ109" s="158" t="s">
        <v>356</v>
      </c>
      <c r="AV109" s="114">
        <f>ROUND(AW109+AX109,2)</f>
      </c>
      <c r="AW109" s="114">
        <f>ROUND(F109*AO109,2)</f>
      </c>
      <c r="AX109" s="114">
        <f>ROUND(F109*AP109,2)</f>
      </c>
      <c r="AY109" s="158" t="s">
        <v>357</v>
      </c>
      <c r="AZ109" s="158" t="s">
        <v>358</v>
      </c>
      <c r="BA109" s="135" t="s">
        <v>137</v>
      </c>
      <c r="BC109" s="114">
        <f>AW109+AX109</f>
      </c>
      <c r="BD109" s="114">
        <f>G109/(100-BE109)*100</f>
      </c>
      <c r="BE109" s="114" t="n">
        <v>0</v>
      </c>
      <c r="BF109" s="114">
        <f>109</f>
      </c>
      <c r="BH109" s="114">
        <f>F109*AO109</f>
      </c>
      <c r="BI109" s="114">
        <f>F109*AP109</f>
      </c>
      <c r="BJ109" s="114">
        <f>F109*G109</f>
      </c>
      <c r="BK109" s="158" t="s">
        <v>352</v>
      </c>
      <c r="BL109" s="114"/>
      <c r="BW109" s="114" t="n">
        <v>21</v>
      </c>
      <c r="BX109" s="14" t="s">
        <v>373</v>
      </c>
    </row>
    <row r="110">
      <c r="A110" s="9" t="s">
        <v>374</v>
      </c>
      <c r="B110" s="10" t="s">
        <v>375</v>
      </c>
      <c r="C110" s="14" t="s">
        <v>376</v>
      </c>
      <c r="D110" s="10"/>
      <c r="E110" s="10" t="s">
        <v>230</v>
      </c>
      <c r="F110" s="114" t="n">
        <v>3</v>
      </c>
      <c r="G110" s="156" t="n">
        <v>0</v>
      </c>
      <c r="H110" s="114">
        <f>ROUND(F110*AO110,2)</f>
      </c>
      <c r="I110" s="114">
        <f>ROUND(F110*AP110,2)</f>
      </c>
      <c r="J110" s="114">
        <f>ROUND(F110*G110,2)</f>
      </c>
      <c r="K110" s="157" t="s">
        <v>134</v>
      </c>
      <c r="Z110" s="114">
        <f>ROUND(IF(AQ110="5",BJ110,0),2)</f>
      </c>
      <c r="AB110" s="114">
        <f>ROUND(IF(AQ110="1",BH110,0),2)</f>
      </c>
      <c r="AC110" s="114">
        <f>ROUND(IF(AQ110="1",BI110,0),2)</f>
      </c>
      <c r="AD110" s="114">
        <f>ROUND(IF(AQ110="7",BH110,0),2)</f>
      </c>
      <c r="AE110" s="114">
        <f>ROUND(IF(AQ110="7",BI110,0),2)</f>
      </c>
      <c r="AF110" s="114">
        <f>ROUND(IF(AQ110="2",BH110,0),2)</f>
      </c>
      <c r="AG110" s="114">
        <f>ROUND(IF(AQ110="2",BI110,0),2)</f>
      </c>
      <c r="AH110" s="114">
        <f>ROUND(IF(AQ110="0",BJ110,0),2)</f>
      </c>
      <c r="AI110" s="135" t="s">
        <v>88</v>
      </c>
      <c r="AJ110" s="114">
        <f>IF(AN110=0,J110,0)</f>
      </c>
      <c r="AK110" s="114">
        <f>IF(AN110=12,J110,0)</f>
      </c>
      <c r="AL110" s="114">
        <f>IF(AN110=21,J110,0)</f>
      </c>
      <c r="AN110" s="114" t="n">
        <v>21</v>
      </c>
      <c r="AO110" s="114">
        <f>G110*1</f>
      </c>
      <c r="AP110" s="114">
        <f>G110*(1-1)</f>
      </c>
      <c r="AQ110" s="158" t="s">
        <v>356</v>
      </c>
      <c r="AV110" s="114">
        <f>ROUND(AW110+AX110,2)</f>
      </c>
      <c r="AW110" s="114">
        <f>ROUND(F110*AO110,2)</f>
      </c>
      <c r="AX110" s="114">
        <f>ROUND(F110*AP110,2)</f>
      </c>
      <c r="AY110" s="158" t="s">
        <v>357</v>
      </c>
      <c r="AZ110" s="158" t="s">
        <v>358</v>
      </c>
      <c r="BA110" s="135" t="s">
        <v>137</v>
      </c>
      <c r="BC110" s="114">
        <f>AW110+AX110</f>
      </c>
      <c r="BD110" s="114">
        <f>G110/(100-BE110)*100</f>
      </c>
      <c r="BE110" s="114" t="n">
        <v>0</v>
      </c>
      <c r="BF110" s="114">
        <f>110</f>
      </c>
      <c r="BH110" s="114">
        <f>F110*AO110</f>
      </c>
      <c r="BI110" s="114">
        <f>F110*AP110</f>
      </c>
      <c r="BJ110" s="114">
        <f>F110*G110</f>
      </c>
      <c r="BK110" s="158" t="s">
        <v>352</v>
      </c>
      <c r="BL110" s="114"/>
      <c r="BW110" s="114" t="n">
        <v>21</v>
      </c>
      <c r="BX110" s="14" t="s">
        <v>376</v>
      </c>
    </row>
    <row r="111">
      <c r="A111" s="9" t="s">
        <v>225</v>
      </c>
      <c r="B111" s="10" t="s">
        <v>377</v>
      </c>
      <c r="C111" s="14" t="s">
        <v>378</v>
      </c>
      <c r="D111" s="10"/>
      <c r="E111" s="10" t="s">
        <v>212</v>
      </c>
      <c r="F111" s="114" t="n">
        <v>10</v>
      </c>
      <c r="G111" s="156" t="n">
        <v>0</v>
      </c>
      <c r="H111" s="114">
        <f>ROUND(F111*AO111,2)</f>
      </c>
      <c r="I111" s="114">
        <f>ROUND(F111*AP111,2)</f>
      </c>
      <c r="J111" s="114">
        <f>ROUND(F111*G111,2)</f>
      </c>
      <c r="K111" s="157" t="s">
        <v>134</v>
      </c>
      <c r="Z111" s="114">
        <f>ROUND(IF(AQ111="5",BJ111,0),2)</f>
      </c>
      <c r="AB111" s="114">
        <f>ROUND(IF(AQ111="1",BH111,0),2)</f>
      </c>
      <c r="AC111" s="114">
        <f>ROUND(IF(AQ111="1",BI111,0),2)</f>
      </c>
      <c r="AD111" s="114">
        <f>ROUND(IF(AQ111="7",BH111,0),2)</f>
      </c>
      <c r="AE111" s="114">
        <f>ROUND(IF(AQ111="7",BI111,0),2)</f>
      </c>
      <c r="AF111" s="114">
        <f>ROUND(IF(AQ111="2",BH111,0),2)</f>
      </c>
      <c r="AG111" s="114">
        <f>ROUND(IF(AQ111="2",BI111,0),2)</f>
      </c>
      <c r="AH111" s="114">
        <f>ROUND(IF(AQ111="0",BJ111,0),2)</f>
      </c>
      <c r="AI111" s="135" t="s">
        <v>88</v>
      </c>
      <c r="AJ111" s="114">
        <f>IF(AN111=0,J111,0)</f>
      </c>
      <c r="AK111" s="114">
        <f>IF(AN111=12,J111,0)</f>
      </c>
      <c r="AL111" s="114">
        <f>IF(AN111=21,J111,0)</f>
      </c>
      <c r="AN111" s="114" t="n">
        <v>21</v>
      </c>
      <c r="AO111" s="114">
        <f>G111*1</f>
      </c>
      <c r="AP111" s="114">
        <f>G111*(1-1)</f>
      </c>
      <c r="AQ111" s="158" t="s">
        <v>356</v>
      </c>
      <c r="AV111" s="114">
        <f>ROUND(AW111+AX111,2)</f>
      </c>
      <c r="AW111" s="114">
        <f>ROUND(F111*AO111,2)</f>
      </c>
      <c r="AX111" s="114">
        <f>ROUND(F111*AP111,2)</f>
      </c>
      <c r="AY111" s="158" t="s">
        <v>357</v>
      </c>
      <c r="AZ111" s="158" t="s">
        <v>358</v>
      </c>
      <c r="BA111" s="135" t="s">
        <v>137</v>
      </c>
      <c r="BC111" s="114">
        <f>AW111+AX111</f>
      </c>
      <c r="BD111" s="114">
        <f>G111/(100-BE111)*100</f>
      </c>
      <c r="BE111" s="114" t="n">
        <v>0</v>
      </c>
      <c r="BF111" s="114">
        <f>111</f>
      </c>
      <c r="BH111" s="114">
        <f>F111*AO111</f>
      </c>
      <c r="BI111" s="114">
        <f>F111*AP111</f>
      </c>
      <c r="BJ111" s="114">
        <f>F111*G111</f>
      </c>
      <c r="BK111" s="158" t="s">
        <v>352</v>
      </c>
      <c r="BL111" s="114"/>
      <c r="BW111" s="114" t="n">
        <v>21</v>
      </c>
      <c r="BX111" s="14" t="s">
        <v>378</v>
      </c>
    </row>
    <row r="112">
      <c r="A112" s="150" t="s">
        <v>10</v>
      </c>
      <c r="B112" s="151" t="s">
        <v>10</v>
      </c>
      <c r="C112" s="152" t="s">
        <v>89</v>
      </c>
      <c r="D112" s="151"/>
      <c r="E112" s="153" t="s">
        <v>81</v>
      </c>
      <c r="F112" s="153" t="s">
        <v>81</v>
      </c>
      <c r="G112" s="154" t="s">
        <v>81</v>
      </c>
      <c r="H112" s="121">
        <f>H113+H115+H118</f>
      </c>
      <c r="I112" s="121">
        <f>I113+I115+I118</f>
      </c>
      <c r="J112" s="121">
        <f>J113+J115+J118</f>
      </c>
      <c r="K112" s="155" t="s">
        <v>10</v>
      </c>
    </row>
    <row r="113">
      <c r="A113" s="150" t="s">
        <v>10</v>
      </c>
      <c r="B113" s="151" t="s">
        <v>180</v>
      </c>
      <c r="C113" s="152" t="s">
        <v>181</v>
      </c>
      <c r="D113" s="151"/>
      <c r="E113" s="153" t="s">
        <v>81</v>
      </c>
      <c r="F113" s="153" t="s">
        <v>81</v>
      </c>
      <c r="G113" s="154" t="s">
        <v>81</v>
      </c>
      <c r="H113" s="121">
        <f>SUM(H114:H114)</f>
      </c>
      <c r="I113" s="121">
        <f>SUM(I114:I114)</f>
      </c>
      <c r="J113" s="121">
        <f>SUM(J114:J114)</f>
      </c>
      <c r="K113" s="155" t="s">
        <v>10</v>
      </c>
      <c r="AI113" s="135" t="s">
        <v>90</v>
      </c>
      <c r="AS113" s="121">
        <f>SUM(AJ114:AJ114)</f>
      </c>
      <c r="AT113" s="121">
        <f>SUM(AK114:AK114)</f>
      </c>
      <c r="AU113" s="121">
        <f>SUM(AL114:AL114)</f>
      </c>
    </row>
    <row r="114">
      <c r="A114" s="9" t="s">
        <v>379</v>
      </c>
      <c r="B114" s="10" t="s">
        <v>380</v>
      </c>
      <c r="C114" s="14" t="s">
        <v>381</v>
      </c>
      <c r="D114" s="10"/>
      <c r="E114" s="10" t="s">
        <v>153</v>
      </c>
      <c r="F114" s="114" t="n">
        <v>1.3568</v>
      </c>
      <c r="G114" s="156" t="n">
        <v>0</v>
      </c>
      <c r="H114" s="114">
        <f>ROUND(F114*AO114,2)</f>
      </c>
      <c r="I114" s="114">
        <f>ROUND(F114*AP114,2)</f>
      </c>
      <c r="J114" s="114">
        <f>ROUND(F114*G114,2)</f>
      </c>
      <c r="K114" s="157" t="s">
        <v>134</v>
      </c>
      <c r="Z114" s="114">
        <f>ROUND(IF(AQ114="5",BJ114,0),2)</f>
      </c>
      <c r="AB114" s="114">
        <f>ROUND(IF(AQ114="1",BH114,0),2)</f>
      </c>
      <c r="AC114" s="114">
        <f>ROUND(IF(AQ114="1",BI114,0),2)</f>
      </c>
      <c r="AD114" s="114">
        <f>ROUND(IF(AQ114="7",BH114,0),2)</f>
      </c>
      <c r="AE114" s="114">
        <f>ROUND(IF(AQ114="7",BI114,0),2)</f>
      </c>
      <c r="AF114" s="114">
        <f>ROUND(IF(AQ114="2",BH114,0),2)</f>
      </c>
      <c r="AG114" s="114">
        <f>ROUND(IF(AQ114="2",BI114,0),2)</f>
      </c>
      <c r="AH114" s="114">
        <f>ROUND(IF(AQ114="0",BJ114,0),2)</f>
      </c>
      <c r="AI114" s="135" t="s">
        <v>90</v>
      </c>
      <c r="AJ114" s="114">
        <f>IF(AN114=0,J114,0)</f>
      </c>
      <c r="AK114" s="114">
        <f>IF(AN114=12,J114,0)</f>
      </c>
      <c r="AL114" s="114">
        <f>IF(AN114=21,J114,0)</f>
      </c>
      <c r="AN114" s="114" t="n">
        <v>21</v>
      </c>
      <c r="AO114" s="114">
        <f>G114*0.878448689</f>
      </c>
      <c r="AP114" s="114">
        <f>G114*(1-0.878448689)</f>
      </c>
      <c r="AQ114" s="158" t="s">
        <v>130</v>
      </c>
      <c r="AV114" s="114">
        <f>ROUND(AW114+AX114,2)</f>
      </c>
      <c r="AW114" s="114">
        <f>ROUND(F114*AO114,2)</f>
      </c>
      <c r="AX114" s="114">
        <f>ROUND(F114*AP114,2)</f>
      </c>
      <c r="AY114" s="158" t="s">
        <v>185</v>
      </c>
      <c r="AZ114" s="158" t="s">
        <v>382</v>
      </c>
      <c r="BA114" s="135" t="s">
        <v>383</v>
      </c>
      <c r="BC114" s="114">
        <f>AW114+AX114</f>
      </c>
      <c r="BD114" s="114">
        <f>G114/(100-BE114)*100</f>
      </c>
      <c r="BE114" s="114" t="n">
        <v>0</v>
      </c>
      <c r="BF114" s="114">
        <f>114</f>
      </c>
      <c r="BH114" s="114">
        <f>F114*AO114</f>
      </c>
      <c r="BI114" s="114">
        <f>F114*AP114</f>
      </c>
      <c r="BJ114" s="114">
        <f>F114*G114</f>
      </c>
      <c r="BK114" s="158" t="s">
        <v>138</v>
      </c>
      <c r="BL114" s="114" t="n">
        <v>27</v>
      </c>
      <c r="BW114" s="114" t="n">
        <v>21</v>
      </c>
      <c r="BX114" s="14" t="s">
        <v>381</v>
      </c>
    </row>
    <row r="115">
      <c r="A115" s="150" t="s">
        <v>10</v>
      </c>
      <c r="B115" s="151" t="s">
        <v>307</v>
      </c>
      <c r="C115" s="152" t="s">
        <v>308</v>
      </c>
      <c r="D115" s="151"/>
      <c r="E115" s="153" t="s">
        <v>81</v>
      </c>
      <c r="F115" s="153" t="s">
        <v>81</v>
      </c>
      <c r="G115" s="154" t="s">
        <v>81</v>
      </c>
      <c r="H115" s="121">
        <f>SUM(H116:H117)</f>
      </c>
      <c r="I115" s="121">
        <f>SUM(I116:I117)</f>
      </c>
      <c r="J115" s="121">
        <f>SUM(J116:J117)</f>
      </c>
      <c r="K115" s="155" t="s">
        <v>10</v>
      </c>
      <c r="AI115" s="135" t="s">
        <v>90</v>
      </c>
      <c r="AS115" s="121">
        <f>SUM(AJ116:AJ117)</f>
      </c>
      <c r="AT115" s="121">
        <f>SUM(AK116:AK117)</f>
      </c>
      <c r="AU115" s="121">
        <f>SUM(AL116:AL117)</f>
      </c>
    </row>
    <row r="116">
      <c r="A116" s="9" t="s">
        <v>232</v>
      </c>
      <c r="B116" s="10" t="s">
        <v>310</v>
      </c>
      <c r="C116" s="14" t="s">
        <v>311</v>
      </c>
      <c r="D116" s="10"/>
      <c r="E116" s="10" t="s">
        <v>312</v>
      </c>
      <c r="F116" s="114" t="n">
        <v>6</v>
      </c>
      <c r="G116" s="156" t="n">
        <v>0</v>
      </c>
      <c r="H116" s="114">
        <f>ROUND(F116*AO116,2)</f>
      </c>
      <c r="I116" s="114">
        <f>ROUND(F116*AP116,2)</f>
      </c>
      <c r="J116" s="114">
        <f>ROUND(F116*G116,2)</f>
      </c>
      <c r="K116" s="157" t="s">
        <v>134</v>
      </c>
      <c r="Z116" s="114">
        <f>ROUND(IF(AQ116="5",BJ116,0),2)</f>
      </c>
      <c r="AB116" s="114">
        <f>ROUND(IF(AQ116="1",BH116,0),2)</f>
      </c>
      <c r="AC116" s="114">
        <f>ROUND(IF(AQ116="1",BI116,0),2)</f>
      </c>
      <c r="AD116" s="114">
        <f>ROUND(IF(AQ116="7",BH116,0),2)</f>
      </c>
      <c r="AE116" s="114">
        <f>ROUND(IF(AQ116="7",BI116,0),2)</f>
      </c>
      <c r="AF116" s="114">
        <f>ROUND(IF(AQ116="2",BH116,0),2)</f>
      </c>
      <c r="AG116" s="114">
        <f>ROUND(IF(AQ116="2",BI116,0),2)</f>
      </c>
      <c r="AH116" s="114">
        <f>ROUND(IF(AQ116="0",BJ116,0),2)</f>
      </c>
      <c r="AI116" s="135" t="s">
        <v>90</v>
      </c>
      <c r="AJ116" s="114">
        <f>IF(AN116=0,J116,0)</f>
      </c>
      <c r="AK116" s="114">
        <f>IF(AN116=12,J116,0)</f>
      </c>
      <c r="AL116" s="114">
        <f>IF(AN116=21,J116,0)</f>
      </c>
      <c r="AN116" s="114" t="n">
        <v>21</v>
      </c>
      <c r="AO116" s="114">
        <f>G116*0</f>
      </c>
      <c r="AP116" s="114">
        <f>G116*(1-0)</f>
      </c>
      <c r="AQ116" s="158" t="s">
        <v>150</v>
      </c>
      <c r="AV116" s="114">
        <f>ROUND(AW116+AX116,2)</f>
      </c>
      <c r="AW116" s="114">
        <f>ROUND(F116*AO116,2)</f>
      </c>
      <c r="AX116" s="114">
        <f>ROUND(F116*AP116,2)</f>
      </c>
      <c r="AY116" s="158" t="s">
        <v>313</v>
      </c>
      <c r="AZ116" s="158" t="s">
        <v>384</v>
      </c>
      <c r="BA116" s="135" t="s">
        <v>383</v>
      </c>
      <c r="BC116" s="114">
        <f>AW116+AX116</f>
      </c>
      <c r="BD116" s="114">
        <f>G116/(100-BE116)*100</f>
      </c>
      <c r="BE116" s="114" t="n">
        <v>0</v>
      </c>
      <c r="BF116" s="114">
        <f>116</f>
      </c>
      <c r="BH116" s="114">
        <f>F116*AO116</f>
      </c>
      <c r="BI116" s="114">
        <f>F116*AP116</f>
      </c>
      <c r="BJ116" s="114">
        <f>F116*G116</f>
      </c>
      <c r="BK116" s="158" t="s">
        <v>138</v>
      </c>
      <c r="BL116" s="114"/>
      <c r="BW116" s="114" t="n">
        <v>21</v>
      </c>
      <c r="BX116" s="14" t="s">
        <v>311</v>
      </c>
    </row>
    <row r="117">
      <c r="A117" s="9" t="s">
        <v>250</v>
      </c>
      <c r="B117" s="10" t="s">
        <v>316</v>
      </c>
      <c r="C117" s="14" t="s">
        <v>317</v>
      </c>
      <c r="D117" s="10"/>
      <c r="E117" s="10" t="s">
        <v>312</v>
      </c>
      <c r="F117" s="114" t="n">
        <v>18</v>
      </c>
      <c r="G117" s="156" t="n">
        <v>0</v>
      </c>
      <c r="H117" s="114">
        <f>ROUND(F117*AO117,2)</f>
      </c>
      <c r="I117" s="114">
        <f>ROUND(F117*AP117,2)</f>
      </c>
      <c r="J117" s="114">
        <f>ROUND(F117*G117,2)</f>
      </c>
      <c r="K117" s="157" t="s">
        <v>134</v>
      </c>
      <c r="Z117" s="114">
        <f>ROUND(IF(AQ117="5",BJ117,0),2)</f>
      </c>
      <c r="AB117" s="114">
        <f>ROUND(IF(AQ117="1",BH117,0),2)</f>
      </c>
      <c r="AC117" s="114">
        <f>ROUND(IF(AQ117="1",BI117,0),2)</f>
      </c>
      <c r="AD117" s="114">
        <f>ROUND(IF(AQ117="7",BH117,0),2)</f>
      </c>
      <c r="AE117" s="114">
        <f>ROUND(IF(AQ117="7",BI117,0),2)</f>
      </c>
      <c r="AF117" s="114">
        <f>ROUND(IF(AQ117="2",BH117,0),2)</f>
      </c>
      <c r="AG117" s="114">
        <f>ROUND(IF(AQ117="2",BI117,0),2)</f>
      </c>
      <c r="AH117" s="114">
        <f>ROUND(IF(AQ117="0",BJ117,0),2)</f>
      </c>
      <c r="AI117" s="135" t="s">
        <v>90</v>
      </c>
      <c r="AJ117" s="114">
        <f>IF(AN117=0,J117,0)</f>
      </c>
      <c r="AK117" s="114">
        <f>IF(AN117=12,J117,0)</f>
      </c>
      <c r="AL117" s="114">
        <f>IF(AN117=21,J117,0)</f>
      </c>
      <c r="AN117" s="114" t="n">
        <v>21</v>
      </c>
      <c r="AO117" s="114">
        <f>G117*0</f>
      </c>
      <c r="AP117" s="114">
        <f>G117*(1-0)</f>
      </c>
      <c r="AQ117" s="158" t="s">
        <v>150</v>
      </c>
      <c r="AV117" s="114">
        <f>ROUND(AW117+AX117,2)</f>
      </c>
      <c r="AW117" s="114">
        <f>ROUND(F117*AO117,2)</f>
      </c>
      <c r="AX117" s="114">
        <f>ROUND(F117*AP117,2)</f>
      </c>
      <c r="AY117" s="158" t="s">
        <v>313</v>
      </c>
      <c r="AZ117" s="158" t="s">
        <v>384</v>
      </c>
      <c r="BA117" s="135" t="s">
        <v>383</v>
      </c>
      <c r="BC117" s="114">
        <f>AW117+AX117</f>
      </c>
      <c r="BD117" s="114">
        <f>G117/(100-BE117)*100</f>
      </c>
      <c r="BE117" s="114" t="n">
        <v>0</v>
      </c>
      <c r="BF117" s="114">
        <f>117</f>
      </c>
      <c r="BH117" s="114">
        <f>F117*AO117</f>
      </c>
      <c r="BI117" s="114">
        <f>F117*AP117</f>
      </c>
      <c r="BJ117" s="114">
        <f>F117*G117</f>
      </c>
      <c r="BK117" s="158" t="s">
        <v>138</v>
      </c>
      <c r="BL117" s="114"/>
      <c r="BW117" s="114" t="n">
        <v>21</v>
      </c>
      <c r="BX117" s="14" t="s">
        <v>317</v>
      </c>
    </row>
    <row r="118">
      <c r="A118" s="150" t="s">
        <v>10</v>
      </c>
      <c r="B118" s="151" t="s">
        <v>352</v>
      </c>
      <c r="C118" s="152" t="s">
        <v>38</v>
      </c>
      <c r="D118" s="151"/>
      <c r="E118" s="153" t="s">
        <v>81</v>
      </c>
      <c r="F118" s="153" t="s">
        <v>81</v>
      </c>
      <c r="G118" s="154" t="s">
        <v>81</v>
      </c>
      <c r="H118" s="121">
        <f>SUM(H119:H129)</f>
      </c>
      <c r="I118" s="121">
        <f>SUM(I119:I129)</f>
      </c>
      <c r="J118" s="121">
        <f>SUM(J119:J129)</f>
      </c>
      <c r="K118" s="155" t="s">
        <v>10</v>
      </c>
      <c r="AI118" s="135" t="s">
        <v>90</v>
      </c>
      <c r="AS118" s="121">
        <f>SUM(AJ119:AJ129)</f>
      </c>
      <c r="AT118" s="121">
        <f>SUM(AK119:AK129)</f>
      </c>
      <c r="AU118" s="121">
        <f>SUM(AL119:AL129)</f>
      </c>
    </row>
    <row r="119">
      <c r="A119" s="9" t="s">
        <v>385</v>
      </c>
      <c r="B119" s="10" t="s">
        <v>386</v>
      </c>
      <c r="C119" s="14" t="s">
        <v>387</v>
      </c>
      <c r="D119" s="10"/>
      <c r="E119" s="10" t="s">
        <v>230</v>
      </c>
      <c r="F119" s="114" t="n">
        <v>3</v>
      </c>
      <c r="G119" s="156" t="n">
        <v>0</v>
      </c>
      <c r="H119" s="114">
        <f>ROUND(F119*AO119,2)</f>
      </c>
      <c r="I119" s="114">
        <f>ROUND(F119*AP119,2)</f>
      </c>
      <c r="J119" s="114">
        <f>ROUND(F119*G119,2)</f>
      </c>
      <c r="K119" s="157" t="s">
        <v>134</v>
      </c>
      <c r="Z119" s="114">
        <f>ROUND(IF(AQ119="5",BJ119,0),2)</f>
      </c>
      <c r="AB119" s="114">
        <f>ROUND(IF(AQ119="1",BH119,0),2)</f>
      </c>
      <c r="AC119" s="114">
        <f>ROUND(IF(AQ119="1",BI119,0),2)</f>
      </c>
      <c r="AD119" s="114">
        <f>ROUND(IF(AQ119="7",BH119,0),2)</f>
      </c>
      <c r="AE119" s="114">
        <f>ROUND(IF(AQ119="7",BI119,0),2)</f>
      </c>
      <c r="AF119" s="114">
        <f>ROUND(IF(AQ119="2",BH119,0),2)</f>
      </c>
      <c r="AG119" s="114">
        <f>ROUND(IF(AQ119="2",BI119,0),2)</f>
      </c>
      <c r="AH119" s="114">
        <f>ROUND(IF(AQ119="0",BJ119,0),2)</f>
      </c>
      <c r="AI119" s="135" t="s">
        <v>90</v>
      </c>
      <c r="AJ119" s="114">
        <f>IF(AN119=0,J119,0)</f>
      </c>
      <c r="AK119" s="114">
        <f>IF(AN119=12,J119,0)</f>
      </c>
      <c r="AL119" s="114">
        <f>IF(AN119=21,J119,0)</f>
      </c>
      <c r="AN119" s="114" t="n">
        <v>21</v>
      </c>
      <c r="AO119" s="114">
        <f>G119*1</f>
      </c>
      <c r="AP119" s="114">
        <f>G119*(1-1)</f>
      </c>
      <c r="AQ119" s="158" t="s">
        <v>356</v>
      </c>
      <c r="AV119" s="114">
        <f>ROUND(AW119+AX119,2)</f>
      </c>
      <c r="AW119" s="114">
        <f>ROUND(F119*AO119,2)</f>
      </c>
      <c r="AX119" s="114">
        <f>ROUND(F119*AP119,2)</f>
      </c>
      <c r="AY119" s="158" t="s">
        <v>357</v>
      </c>
      <c r="AZ119" s="158" t="s">
        <v>388</v>
      </c>
      <c r="BA119" s="135" t="s">
        <v>383</v>
      </c>
      <c r="BC119" s="114">
        <f>AW119+AX119</f>
      </c>
      <c r="BD119" s="114">
        <f>G119/(100-BE119)*100</f>
      </c>
      <c r="BE119" s="114" t="n">
        <v>0</v>
      </c>
      <c r="BF119" s="114">
        <f>119</f>
      </c>
      <c r="BH119" s="114">
        <f>F119*AO119</f>
      </c>
      <c r="BI119" s="114">
        <f>F119*AP119</f>
      </c>
      <c r="BJ119" s="114">
        <f>F119*G119</f>
      </c>
      <c r="BK119" s="158" t="s">
        <v>352</v>
      </c>
      <c r="BL119" s="114"/>
      <c r="BW119" s="114" t="n">
        <v>21</v>
      </c>
      <c r="BX119" s="14" t="s">
        <v>387</v>
      </c>
    </row>
    <row r="120" customHeight="true" ht="27">
      <c r="A120" s="159"/>
      <c r="B120" s="160" t="s">
        <v>58</v>
      </c>
      <c r="C120" s="161" t="s">
        <v>389</v>
      </c>
      <c r="D120" s="162"/>
      <c r="E120" s="162"/>
      <c r="F120" s="162"/>
      <c r="G120" s="163"/>
      <c r="H120" s="162"/>
      <c r="I120" s="162"/>
      <c r="J120" s="162"/>
      <c r="K120" s="164"/>
    </row>
    <row r="121">
      <c r="A121" s="9" t="s">
        <v>259</v>
      </c>
      <c r="B121" s="10" t="s">
        <v>390</v>
      </c>
      <c r="C121" s="14" t="s">
        <v>391</v>
      </c>
      <c r="D121" s="10"/>
      <c r="E121" s="10" t="s">
        <v>230</v>
      </c>
      <c r="F121" s="114" t="n">
        <v>2</v>
      </c>
      <c r="G121" s="156" t="n">
        <v>0</v>
      </c>
      <c r="H121" s="114">
        <f>ROUND(F121*AO121,2)</f>
      </c>
      <c r="I121" s="114">
        <f>ROUND(F121*AP121,2)</f>
      </c>
      <c r="J121" s="114">
        <f>ROUND(F121*G121,2)</f>
      </c>
      <c r="K121" s="157" t="s">
        <v>134</v>
      </c>
      <c r="Z121" s="114">
        <f>ROUND(IF(AQ121="5",BJ121,0),2)</f>
      </c>
      <c r="AB121" s="114">
        <f>ROUND(IF(AQ121="1",BH121,0),2)</f>
      </c>
      <c r="AC121" s="114">
        <f>ROUND(IF(AQ121="1",BI121,0),2)</f>
      </c>
      <c r="AD121" s="114">
        <f>ROUND(IF(AQ121="7",BH121,0),2)</f>
      </c>
      <c r="AE121" s="114">
        <f>ROUND(IF(AQ121="7",BI121,0),2)</f>
      </c>
      <c r="AF121" s="114">
        <f>ROUND(IF(AQ121="2",BH121,0),2)</f>
      </c>
      <c r="AG121" s="114">
        <f>ROUND(IF(AQ121="2",BI121,0),2)</f>
      </c>
      <c r="AH121" s="114">
        <f>ROUND(IF(AQ121="0",BJ121,0),2)</f>
      </c>
      <c r="AI121" s="135" t="s">
        <v>90</v>
      </c>
      <c r="AJ121" s="114">
        <f>IF(AN121=0,J121,0)</f>
      </c>
      <c r="AK121" s="114">
        <f>IF(AN121=12,J121,0)</f>
      </c>
      <c r="AL121" s="114">
        <f>IF(AN121=21,J121,0)</f>
      </c>
      <c r="AN121" s="114" t="n">
        <v>21</v>
      </c>
      <c r="AO121" s="114">
        <f>G121*1</f>
      </c>
      <c r="AP121" s="114">
        <f>G121*(1-1)</f>
      </c>
      <c r="AQ121" s="158" t="s">
        <v>356</v>
      </c>
      <c r="AV121" s="114">
        <f>ROUND(AW121+AX121,2)</f>
      </c>
      <c r="AW121" s="114">
        <f>ROUND(F121*AO121,2)</f>
      </c>
      <c r="AX121" s="114">
        <f>ROUND(F121*AP121,2)</f>
      </c>
      <c r="AY121" s="158" t="s">
        <v>357</v>
      </c>
      <c r="AZ121" s="158" t="s">
        <v>388</v>
      </c>
      <c r="BA121" s="135" t="s">
        <v>383</v>
      </c>
      <c r="BC121" s="114">
        <f>AW121+AX121</f>
      </c>
      <c r="BD121" s="114">
        <f>G121/(100-BE121)*100</f>
      </c>
      <c r="BE121" s="114" t="n">
        <v>0</v>
      </c>
      <c r="BF121" s="114">
        <f>121</f>
      </c>
      <c r="BH121" s="114">
        <f>F121*AO121</f>
      </c>
      <c r="BI121" s="114">
        <f>F121*AP121</f>
      </c>
      <c r="BJ121" s="114">
        <f>F121*G121</f>
      </c>
      <c r="BK121" s="158" t="s">
        <v>352</v>
      </c>
      <c r="BL121" s="114"/>
      <c r="BW121" s="114" t="n">
        <v>21</v>
      </c>
      <c r="BX121" s="14" t="s">
        <v>391</v>
      </c>
    </row>
    <row r="122" customHeight="true" ht="27">
      <c r="A122" s="159"/>
      <c r="B122" s="160" t="s">
        <v>58</v>
      </c>
      <c r="C122" s="161" t="s">
        <v>389</v>
      </c>
      <c r="D122" s="162"/>
      <c r="E122" s="162"/>
      <c r="F122" s="162"/>
      <c r="G122" s="163"/>
      <c r="H122" s="162"/>
      <c r="I122" s="162"/>
      <c r="J122" s="162"/>
      <c r="K122" s="164"/>
    </row>
    <row r="123">
      <c r="A123" s="9" t="s">
        <v>392</v>
      </c>
      <c r="B123" s="10" t="s">
        <v>393</v>
      </c>
      <c r="C123" s="14" t="s">
        <v>394</v>
      </c>
      <c r="D123" s="10"/>
      <c r="E123" s="10" t="s">
        <v>230</v>
      </c>
      <c r="F123" s="114" t="n">
        <v>10</v>
      </c>
      <c r="G123" s="156" t="n">
        <v>0</v>
      </c>
      <c r="H123" s="114">
        <f>ROUND(F123*AO123,2)</f>
      </c>
      <c r="I123" s="114">
        <f>ROUND(F123*AP123,2)</f>
      </c>
      <c r="J123" s="114">
        <f>ROUND(F123*G123,2)</f>
      </c>
      <c r="K123" s="157" t="s">
        <v>134</v>
      </c>
      <c r="Z123" s="114">
        <f>ROUND(IF(AQ123="5",BJ123,0),2)</f>
      </c>
      <c r="AB123" s="114">
        <f>ROUND(IF(AQ123="1",BH123,0),2)</f>
      </c>
      <c r="AC123" s="114">
        <f>ROUND(IF(AQ123="1",BI123,0),2)</f>
      </c>
      <c r="AD123" s="114">
        <f>ROUND(IF(AQ123="7",BH123,0),2)</f>
      </c>
      <c r="AE123" s="114">
        <f>ROUND(IF(AQ123="7",BI123,0),2)</f>
      </c>
      <c r="AF123" s="114">
        <f>ROUND(IF(AQ123="2",BH123,0),2)</f>
      </c>
      <c r="AG123" s="114">
        <f>ROUND(IF(AQ123="2",BI123,0),2)</f>
      </c>
      <c r="AH123" s="114">
        <f>ROUND(IF(AQ123="0",BJ123,0),2)</f>
      </c>
      <c r="AI123" s="135" t="s">
        <v>90</v>
      </c>
      <c r="AJ123" s="114">
        <f>IF(AN123=0,J123,0)</f>
      </c>
      <c r="AK123" s="114">
        <f>IF(AN123=12,J123,0)</f>
      </c>
      <c r="AL123" s="114">
        <f>IF(AN123=21,J123,0)</f>
      </c>
      <c r="AN123" s="114" t="n">
        <v>21</v>
      </c>
      <c r="AO123" s="114">
        <f>G123*1</f>
      </c>
      <c r="AP123" s="114">
        <f>G123*(1-1)</f>
      </c>
      <c r="AQ123" s="158" t="s">
        <v>356</v>
      </c>
      <c r="AV123" s="114">
        <f>ROUND(AW123+AX123,2)</f>
      </c>
      <c r="AW123" s="114">
        <f>ROUND(F123*AO123,2)</f>
      </c>
      <c r="AX123" s="114">
        <f>ROUND(F123*AP123,2)</f>
      </c>
      <c r="AY123" s="158" t="s">
        <v>357</v>
      </c>
      <c r="AZ123" s="158" t="s">
        <v>388</v>
      </c>
      <c r="BA123" s="135" t="s">
        <v>383</v>
      </c>
      <c r="BC123" s="114">
        <f>AW123+AX123</f>
      </c>
      <c r="BD123" s="114">
        <f>G123/(100-BE123)*100</f>
      </c>
      <c r="BE123" s="114" t="n">
        <v>0</v>
      </c>
      <c r="BF123" s="114">
        <f>123</f>
      </c>
      <c r="BH123" s="114">
        <f>F123*AO123</f>
      </c>
      <c r="BI123" s="114">
        <f>F123*AP123</f>
      </c>
      <c r="BJ123" s="114">
        <f>F123*G123</f>
      </c>
      <c r="BK123" s="158" t="s">
        <v>352</v>
      </c>
      <c r="BL123" s="114"/>
      <c r="BW123" s="114" t="n">
        <v>21</v>
      </c>
      <c r="BX123" s="14" t="s">
        <v>394</v>
      </c>
    </row>
    <row r="124" customHeight="true" ht="27">
      <c r="A124" s="159"/>
      <c r="B124" s="160" t="s">
        <v>58</v>
      </c>
      <c r="C124" s="161" t="s">
        <v>389</v>
      </c>
      <c r="D124" s="162"/>
      <c r="E124" s="162"/>
      <c r="F124" s="162"/>
      <c r="G124" s="163"/>
      <c r="H124" s="162"/>
      <c r="I124" s="162"/>
      <c r="J124" s="162"/>
      <c r="K124" s="164"/>
    </row>
    <row r="125">
      <c r="A125" s="9" t="s">
        <v>395</v>
      </c>
      <c r="B125" s="10" t="s">
        <v>396</v>
      </c>
      <c r="C125" s="14" t="s">
        <v>397</v>
      </c>
      <c r="D125" s="10"/>
      <c r="E125" s="10" t="s">
        <v>230</v>
      </c>
      <c r="F125" s="114" t="n">
        <v>2</v>
      </c>
      <c r="G125" s="156" t="n">
        <v>0</v>
      </c>
      <c r="H125" s="114">
        <f>ROUND(F125*AO125,2)</f>
      </c>
      <c r="I125" s="114">
        <f>ROUND(F125*AP125,2)</f>
      </c>
      <c r="J125" s="114">
        <f>ROUND(F125*G125,2)</f>
      </c>
      <c r="K125" s="157" t="s">
        <v>134</v>
      </c>
      <c r="Z125" s="114">
        <f>ROUND(IF(AQ125="5",BJ125,0),2)</f>
      </c>
      <c r="AB125" s="114">
        <f>ROUND(IF(AQ125="1",BH125,0),2)</f>
      </c>
      <c r="AC125" s="114">
        <f>ROUND(IF(AQ125="1",BI125,0),2)</f>
      </c>
      <c r="AD125" s="114">
        <f>ROUND(IF(AQ125="7",BH125,0),2)</f>
      </c>
      <c r="AE125" s="114">
        <f>ROUND(IF(AQ125="7",BI125,0),2)</f>
      </c>
      <c r="AF125" s="114">
        <f>ROUND(IF(AQ125="2",BH125,0),2)</f>
      </c>
      <c r="AG125" s="114">
        <f>ROUND(IF(AQ125="2",BI125,0),2)</f>
      </c>
      <c r="AH125" s="114">
        <f>ROUND(IF(AQ125="0",BJ125,0),2)</f>
      </c>
      <c r="AI125" s="135" t="s">
        <v>90</v>
      </c>
      <c r="AJ125" s="114">
        <f>IF(AN125=0,J125,0)</f>
      </c>
      <c r="AK125" s="114">
        <f>IF(AN125=12,J125,0)</f>
      </c>
      <c r="AL125" s="114">
        <f>IF(AN125=21,J125,0)</f>
      </c>
      <c r="AN125" s="114" t="n">
        <v>21</v>
      </c>
      <c r="AO125" s="114">
        <f>G125*1</f>
      </c>
      <c r="AP125" s="114">
        <f>G125*(1-1)</f>
      </c>
      <c r="AQ125" s="158" t="s">
        <v>356</v>
      </c>
      <c r="AV125" s="114">
        <f>ROUND(AW125+AX125,2)</f>
      </c>
      <c r="AW125" s="114">
        <f>ROUND(F125*AO125,2)</f>
      </c>
      <c r="AX125" s="114">
        <f>ROUND(F125*AP125,2)</f>
      </c>
      <c r="AY125" s="158" t="s">
        <v>357</v>
      </c>
      <c r="AZ125" s="158" t="s">
        <v>388</v>
      </c>
      <c r="BA125" s="135" t="s">
        <v>383</v>
      </c>
      <c r="BC125" s="114">
        <f>AW125+AX125</f>
      </c>
      <c r="BD125" s="114">
        <f>G125/(100-BE125)*100</f>
      </c>
      <c r="BE125" s="114" t="n">
        <v>0</v>
      </c>
      <c r="BF125" s="114">
        <f>125</f>
      </c>
      <c r="BH125" s="114">
        <f>F125*AO125</f>
      </c>
      <c r="BI125" s="114">
        <f>F125*AP125</f>
      </c>
      <c r="BJ125" s="114">
        <f>F125*G125</f>
      </c>
      <c r="BK125" s="158" t="s">
        <v>352</v>
      </c>
      <c r="BL125" s="114"/>
      <c r="BW125" s="114" t="n">
        <v>21</v>
      </c>
      <c r="BX125" s="14" t="s">
        <v>397</v>
      </c>
    </row>
    <row r="126" customHeight="true" ht="27">
      <c r="A126" s="159"/>
      <c r="B126" s="160" t="s">
        <v>58</v>
      </c>
      <c r="C126" s="161" t="s">
        <v>389</v>
      </c>
      <c r="D126" s="162"/>
      <c r="E126" s="162"/>
      <c r="F126" s="162"/>
      <c r="G126" s="163"/>
      <c r="H126" s="162"/>
      <c r="I126" s="162"/>
      <c r="J126" s="162"/>
      <c r="K126" s="164"/>
    </row>
    <row r="127">
      <c r="A127" s="9" t="s">
        <v>398</v>
      </c>
      <c r="B127" s="10" t="s">
        <v>399</v>
      </c>
      <c r="C127" s="14" t="s">
        <v>400</v>
      </c>
      <c r="D127" s="10"/>
      <c r="E127" s="10" t="s">
        <v>230</v>
      </c>
      <c r="F127" s="114" t="n">
        <v>3</v>
      </c>
      <c r="G127" s="156" t="n">
        <v>0</v>
      </c>
      <c r="H127" s="114">
        <f>ROUND(F127*AO127,2)</f>
      </c>
      <c r="I127" s="114">
        <f>ROUND(F127*AP127,2)</f>
      </c>
      <c r="J127" s="114">
        <f>ROUND(F127*G127,2)</f>
      </c>
      <c r="K127" s="157" t="s">
        <v>134</v>
      </c>
      <c r="Z127" s="114">
        <f>ROUND(IF(AQ127="5",BJ127,0),2)</f>
      </c>
      <c r="AB127" s="114">
        <f>ROUND(IF(AQ127="1",BH127,0),2)</f>
      </c>
      <c r="AC127" s="114">
        <f>ROUND(IF(AQ127="1",BI127,0),2)</f>
      </c>
      <c r="AD127" s="114">
        <f>ROUND(IF(AQ127="7",BH127,0),2)</f>
      </c>
      <c r="AE127" s="114">
        <f>ROUND(IF(AQ127="7",BI127,0),2)</f>
      </c>
      <c r="AF127" s="114">
        <f>ROUND(IF(AQ127="2",BH127,0),2)</f>
      </c>
      <c r="AG127" s="114">
        <f>ROUND(IF(AQ127="2",BI127,0),2)</f>
      </c>
      <c r="AH127" s="114">
        <f>ROUND(IF(AQ127="0",BJ127,0),2)</f>
      </c>
      <c r="AI127" s="135" t="s">
        <v>90</v>
      </c>
      <c r="AJ127" s="114">
        <f>IF(AN127=0,J127,0)</f>
      </c>
      <c r="AK127" s="114">
        <f>IF(AN127=12,J127,0)</f>
      </c>
      <c r="AL127" s="114">
        <f>IF(AN127=21,J127,0)</f>
      </c>
      <c r="AN127" s="114" t="n">
        <v>21</v>
      </c>
      <c r="AO127" s="114">
        <f>G127*1</f>
      </c>
      <c r="AP127" s="114">
        <f>G127*(1-1)</f>
      </c>
      <c r="AQ127" s="158" t="s">
        <v>356</v>
      </c>
      <c r="AV127" s="114">
        <f>ROUND(AW127+AX127,2)</f>
      </c>
      <c r="AW127" s="114">
        <f>ROUND(F127*AO127,2)</f>
      </c>
      <c r="AX127" s="114">
        <f>ROUND(F127*AP127,2)</f>
      </c>
      <c r="AY127" s="158" t="s">
        <v>357</v>
      </c>
      <c r="AZ127" s="158" t="s">
        <v>388</v>
      </c>
      <c r="BA127" s="135" t="s">
        <v>383</v>
      </c>
      <c r="BC127" s="114">
        <f>AW127+AX127</f>
      </c>
      <c r="BD127" s="114">
        <f>G127/(100-BE127)*100</f>
      </c>
      <c r="BE127" s="114" t="n">
        <v>0</v>
      </c>
      <c r="BF127" s="114">
        <f>127</f>
      </c>
      <c r="BH127" s="114">
        <f>F127*AO127</f>
      </c>
      <c r="BI127" s="114">
        <f>F127*AP127</f>
      </c>
      <c r="BJ127" s="114">
        <f>F127*G127</f>
      </c>
      <c r="BK127" s="158" t="s">
        <v>352</v>
      </c>
      <c r="BL127" s="114"/>
      <c r="BW127" s="114" t="n">
        <v>21</v>
      </c>
      <c r="BX127" s="14" t="s">
        <v>400</v>
      </c>
    </row>
    <row r="128" customHeight="true" ht="27">
      <c r="A128" s="159"/>
      <c r="B128" s="160" t="s">
        <v>58</v>
      </c>
      <c r="C128" s="161" t="s">
        <v>389</v>
      </c>
      <c r="D128" s="162"/>
      <c r="E128" s="162"/>
      <c r="F128" s="162"/>
      <c r="G128" s="163"/>
      <c r="H128" s="162"/>
      <c r="I128" s="162"/>
      <c r="J128" s="162"/>
      <c r="K128" s="164"/>
    </row>
    <row r="129" ht="24.75">
      <c r="A129" s="9" t="s">
        <v>270</v>
      </c>
      <c r="B129" s="10" t="s">
        <v>399</v>
      </c>
      <c r="C129" s="14" t="s">
        <v>401</v>
      </c>
      <c r="D129" s="10"/>
      <c r="E129" s="10" t="s">
        <v>230</v>
      </c>
      <c r="F129" s="114" t="n">
        <v>1</v>
      </c>
      <c r="G129" s="156" t="n">
        <v>0</v>
      </c>
      <c r="H129" s="114">
        <f>ROUND(F129*AO129,2)</f>
      </c>
      <c r="I129" s="114">
        <f>ROUND(F129*AP129,2)</f>
      </c>
      <c r="J129" s="114">
        <f>ROUND(F129*G129,2)</f>
      </c>
      <c r="K129" s="157" t="s">
        <v>134</v>
      </c>
      <c r="Z129" s="114">
        <f>ROUND(IF(AQ129="5",BJ129,0),2)</f>
      </c>
      <c r="AB129" s="114">
        <f>ROUND(IF(AQ129="1",BH129,0),2)</f>
      </c>
      <c r="AC129" s="114">
        <f>ROUND(IF(AQ129="1",BI129,0),2)</f>
      </c>
      <c r="AD129" s="114">
        <f>ROUND(IF(AQ129="7",BH129,0),2)</f>
      </c>
      <c r="AE129" s="114">
        <f>ROUND(IF(AQ129="7",BI129,0),2)</f>
      </c>
      <c r="AF129" s="114">
        <f>ROUND(IF(AQ129="2",BH129,0),2)</f>
      </c>
      <c r="AG129" s="114">
        <f>ROUND(IF(AQ129="2",BI129,0),2)</f>
      </c>
      <c r="AH129" s="114">
        <f>ROUND(IF(AQ129="0",BJ129,0),2)</f>
      </c>
      <c r="AI129" s="135" t="s">
        <v>90</v>
      </c>
      <c r="AJ129" s="114">
        <f>IF(AN129=0,J129,0)</f>
      </c>
      <c r="AK129" s="114">
        <f>IF(AN129=12,J129,0)</f>
      </c>
      <c r="AL129" s="114">
        <f>IF(AN129=21,J129,0)</f>
      </c>
      <c r="AN129" s="114" t="n">
        <v>21</v>
      </c>
      <c r="AO129" s="114">
        <f>G129*1</f>
      </c>
      <c r="AP129" s="114">
        <f>G129*(1-1)</f>
      </c>
      <c r="AQ129" s="158" t="s">
        <v>356</v>
      </c>
      <c r="AV129" s="114">
        <f>ROUND(AW129+AX129,2)</f>
      </c>
      <c r="AW129" s="114">
        <f>ROUND(F129*AO129,2)</f>
      </c>
      <c r="AX129" s="114">
        <f>ROUND(F129*AP129,2)</f>
      </c>
      <c r="AY129" s="158" t="s">
        <v>357</v>
      </c>
      <c r="AZ129" s="158" t="s">
        <v>388</v>
      </c>
      <c r="BA129" s="135" t="s">
        <v>383</v>
      </c>
      <c r="BC129" s="114">
        <f>AW129+AX129</f>
      </c>
      <c r="BD129" s="114">
        <f>G129/(100-BE129)*100</f>
      </c>
      <c r="BE129" s="114" t="n">
        <v>0</v>
      </c>
      <c r="BF129" s="114">
        <f>129</f>
      </c>
      <c r="BH129" s="114">
        <f>F129*AO129</f>
      </c>
      <c r="BI129" s="114">
        <f>F129*AP129</f>
      </c>
      <c r="BJ129" s="114">
        <f>F129*G129</f>
      </c>
      <c r="BK129" s="158" t="s">
        <v>352</v>
      </c>
      <c r="BL129" s="114"/>
      <c r="BW129" s="114" t="n">
        <v>21</v>
      </c>
      <c r="BX129" s="14" t="s">
        <v>401</v>
      </c>
    </row>
    <row r="130" customHeight="true" ht="27">
      <c r="A130" s="159"/>
      <c r="B130" s="160" t="s">
        <v>58</v>
      </c>
      <c r="C130" s="161" t="s">
        <v>389</v>
      </c>
      <c r="D130" s="162"/>
      <c r="E130" s="162"/>
      <c r="F130" s="162"/>
      <c r="G130" s="163"/>
      <c r="H130" s="162"/>
      <c r="I130" s="162"/>
      <c r="J130" s="162"/>
      <c r="K130" s="164"/>
    </row>
    <row r="131">
      <c r="A131" s="150" t="s">
        <v>10</v>
      </c>
      <c r="B131" s="151" t="s">
        <v>10</v>
      </c>
      <c r="C131" s="152" t="s">
        <v>59</v>
      </c>
      <c r="D131" s="151"/>
      <c r="E131" s="153" t="s">
        <v>81</v>
      </c>
      <c r="F131" s="153" t="s">
        <v>81</v>
      </c>
      <c r="G131" s="154" t="s">
        <v>81</v>
      </c>
      <c r="H131" s="121">
        <f>H133+H136+H138+H141+H146+H148+H151</f>
      </c>
      <c r="I131" s="121">
        <f>I133+I136+I138+I141+I146+I148+I151</f>
      </c>
      <c r="J131" s="121">
        <f>J133+J136+J138+J141+J146+J148+J151</f>
      </c>
      <c r="K131" s="155" t="s">
        <v>10</v>
      </c>
    </row>
    <row r="132">
      <c r="A132" s="150" t="s">
        <v>10</v>
      </c>
      <c r="B132" s="151" t="s">
        <v>91</v>
      </c>
      <c r="C132" s="152" t="s">
        <v>59</v>
      </c>
      <c r="D132" s="151"/>
      <c r="E132" s="153" t="s">
        <v>81</v>
      </c>
      <c r="F132" s="153" t="s">
        <v>81</v>
      </c>
      <c r="G132" s="154" t="s">
        <v>81</v>
      </c>
      <c r="H132" s="121">
        <f>H133+H136+H138+H141+H146+H148+H151</f>
      </c>
      <c r="I132" s="121">
        <f>I133+I136+I138+I141+I146+I148+I151</f>
      </c>
      <c r="J132" s="121">
        <f>J133+J136+J138+J141+J146+J148+J151</f>
      </c>
      <c r="K132" s="155" t="s">
        <v>10</v>
      </c>
      <c r="AI132" s="135" t="s">
        <v>91</v>
      </c>
    </row>
    <row r="133">
      <c r="A133" s="150" t="s">
        <v>10</v>
      </c>
      <c r="B133" s="151" t="s">
        <v>402</v>
      </c>
      <c r="C133" s="152" t="s">
        <v>70</v>
      </c>
      <c r="D133" s="151"/>
      <c r="E133" s="153" t="s">
        <v>81</v>
      </c>
      <c r="F133" s="153" t="s">
        <v>81</v>
      </c>
      <c r="G133" s="154" t="s">
        <v>81</v>
      </c>
      <c r="H133" s="121">
        <f>SUM(H134:H135)</f>
      </c>
      <c r="I133" s="121">
        <f>SUM(I134:I135)</f>
      </c>
      <c r="J133" s="121">
        <f>SUM(J134:J135)</f>
      </c>
      <c r="K133" s="155" t="s">
        <v>10</v>
      </c>
      <c r="AI133" s="135" t="s">
        <v>91</v>
      </c>
      <c r="AS133" s="121">
        <f>SUM(AJ134:AJ135)</f>
      </c>
      <c r="AT133" s="121">
        <f>SUM(AK134:AK135)</f>
      </c>
      <c r="AU133" s="121">
        <f>SUM(AL134:AL135)</f>
      </c>
    </row>
    <row r="134">
      <c r="A134" s="9" t="s">
        <v>403</v>
      </c>
      <c r="B134" s="10" t="s">
        <v>404</v>
      </c>
      <c r="C134" s="14" t="s">
        <v>405</v>
      </c>
      <c r="D134" s="10"/>
      <c r="E134" s="10" t="s">
        <v>406</v>
      </c>
      <c r="F134" s="114" t="n">
        <v>2</v>
      </c>
      <c r="G134" s="156" t="n">
        <v>0</v>
      </c>
      <c r="H134" s="114">
        <f>ROUND(F134*AO134,2)</f>
      </c>
      <c r="I134" s="114">
        <f>ROUND(F134*AP134,2)</f>
      </c>
      <c r="J134" s="114">
        <f>ROUND(F134*G134,2)</f>
      </c>
      <c r="K134" s="157" t="s">
        <v>10</v>
      </c>
      <c r="Z134" s="114">
        <f>ROUND(IF(AQ134="5",BJ134,0),2)</f>
      </c>
      <c r="AB134" s="114">
        <f>ROUND(IF(AQ134="1",BH134,0),2)</f>
      </c>
      <c r="AC134" s="114">
        <f>ROUND(IF(AQ134="1",BI134,0),2)</f>
      </c>
      <c r="AD134" s="114">
        <f>ROUND(IF(AQ134="7",BH134,0),2)</f>
      </c>
      <c r="AE134" s="114">
        <f>ROUND(IF(AQ134="7",BI134,0),2)</f>
      </c>
      <c r="AF134" s="114">
        <f>ROUND(IF(AQ134="2",BH134,0),2)</f>
      </c>
      <c r="AG134" s="114">
        <f>ROUND(IF(AQ134="2",BI134,0),2)</f>
      </c>
      <c r="AH134" s="114">
        <f>ROUND(IF(AQ134="0",BJ134,0),2)</f>
      </c>
      <c r="AI134" s="135" t="s">
        <v>91</v>
      </c>
      <c r="AJ134" s="114">
        <f>IF(AN134=0,J134,0)</f>
      </c>
      <c r="AK134" s="114">
        <f>IF(AN134=12,J134,0)</f>
      </c>
      <c r="AL134" s="114">
        <f>IF(AN134=21,J134,0)</f>
      </c>
      <c r="AN134" s="114" t="n">
        <v>21</v>
      </c>
      <c r="AO134" s="114">
        <f>G134*0</f>
      </c>
      <c r="AP134" s="114">
        <f>G134*(1-0)</f>
      </c>
      <c r="AQ134" s="158" t="s">
        <v>407</v>
      </c>
      <c r="AV134" s="114">
        <f>ROUND(AW134+AX134,2)</f>
      </c>
      <c r="AW134" s="114">
        <f>ROUND(F134*AO134,2)</f>
      </c>
      <c r="AX134" s="114">
        <f>ROUND(F134*AP134,2)</f>
      </c>
      <c r="AY134" s="158" t="s">
        <v>408</v>
      </c>
      <c r="AZ134" s="158" t="s">
        <v>409</v>
      </c>
      <c r="BA134" s="135" t="s">
        <v>410</v>
      </c>
      <c r="BC134" s="114">
        <f>AW134+AX134</f>
      </c>
      <c r="BD134" s="114">
        <f>G134/(100-BE134)*100</f>
      </c>
      <c r="BE134" s="114" t="n">
        <v>0</v>
      </c>
      <c r="BF134" s="114">
        <f>134</f>
      </c>
      <c r="BH134" s="114">
        <f>F134*AO134</f>
      </c>
      <c r="BI134" s="114">
        <f>F134*AP134</f>
      </c>
      <c r="BJ134" s="114">
        <f>F134*G134</f>
      </c>
      <c r="BK134" s="158" t="s">
        <v>138</v>
      </c>
      <c r="BL134" s="114"/>
      <c r="BM134" s="114">
        <f>F134*G134</f>
      </c>
      <c r="BW134" s="114" t="n">
        <v>21</v>
      </c>
      <c r="BX134" s="14" t="s">
        <v>405</v>
      </c>
    </row>
    <row r="135">
      <c r="A135" s="9" t="s">
        <v>411</v>
      </c>
      <c r="B135" s="10" t="s">
        <v>412</v>
      </c>
      <c r="C135" s="14" t="s">
        <v>413</v>
      </c>
      <c r="D135" s="10"/>
      <c r="E135" s="10" t="s">
        <v>406</v>
      </c>
      <c r="F135" s="114" t="n">
        <v>1</v>
      </c>
      <c r="G135" s="156" t="n">
        <v>0</v>
      </c>
      <c r="H135" s="114">
        <f>ROUND(F135*AO135,2)</f>
      </c>
      <c r="I135" s="114">
        <f>ROUND(F135*AP135,2)</f>
      </c>
      <c r="J135" s="114">
        <f>ROUND(F135*G135,2)</f>
      </c>
      <c r="K135" s="157" t="s">
        <v>10</v>
      </c>
      <c r="Z135" s="114">
        <f>ROUND(IF(AQ135="5",BJ135,0),2)</f>
      </c>
      <c r="AB135" s="114">
        <f>ROUND(IF(AQ135="1",BH135,0),2)</f>
      </c>
      <c r="AC135" s="114">
        <f>ROUND(IF(AQ135="1",BI135,0),2)</f>
      </c>
      <c r="AD135" s="114">
        <f>ROUND(IF(AQ135="7",BH135,0),2)</f>
      </c>
      <c r="AE135" s="114">
        <f>ROUND(IF(AQ135="7",BI135,0),2)</f>
      </c>
      <c r="AF135" s="114">
        <f>ROUND(IF(AQ135="2",BH135,0),2)</f>
      </c>
      <c r="AG135" s="114">
        <f>ROUND(IF(AQ135="2",BI135,0),2)</f>
      </c>
      <c r="AH135" s="114">
        <f>ROUND(IF(AQ135="0",BJ135,0),2)</f>
      </c>
      <c r="AI135" s="135" t="s">
        <v>91</v>
      </c>
      <c r="AJ135" s="114">
        <f>IF(AN135=0,J135,0)</f>
      </c>
      <c r="AK135" s="114">
        <f>IF(AN135=12,J135,0)</f>
      </c>
      <c r="AL135" s="114">
        <f>IF(AN135=21,J135,0)</f>
      </c>
      <c r="AN135" s="114" t="n">
        <v>21</v>
      </c>
      <c r="AO135" s="114">
        <f>G135*0</f>
      </c>
      <c r="AP135" s="114">
        <f>G135*(1-0)</f>
      </c>
      <c r="AQ135" s="158" t="s">
        <v>407</v>
      </c>
      <c r="AV135" s="114">
        <f>ROUND(AW135+AX135,2)</f>
      </c>
      <c r="AW135" s="114">
        <f>ROUND(F135*AO135,2)</f>
      </c>
      <c r="AX135" s="114">
        <f>ROUND(F135*AP135,2)</f>
      </c>
      <c r="AY135" s="158" t="s">
        <v>408</v>
      </c>
      <c r="AZ135" s="158" t="s">
        <v>409</v>
      </c>
      <c r="BA135" s="135" t="s">
        <v>410</v>
      </c>
      <c r="BC135" s="114">
        <f>AW135+AX135</f>
      </c>
      <c r="BD135" s="114">
        <f>G135/(100-BE135)*100</f>
      </c>
      <c r="BE135" s="114" t="n">
        <v>0</v>
      </c>
      <c r="BF135" s="114">
        <f>135</f>
      </c>
      <c r="BH135" s="114">
        <f>F135*AO135</f>
      </c>
      <c r="BI135" s="114">
        <f>F135*AP135</f>
      </c>
      <c r="BJ135" s="114">
        <f>F135*G135</f>
      </c>
      <c r="BK135" s="158" t="s">
        <v>138</v>
      </c>
      <c r="BL135" s="114"/>
      <c r="BM135" s="114">
        <f>F135*G135</f>
      </c>
      <c r="BW135" s="114" t="n">
        <v>21</v>
      </c>
      <c r="BX135" s="14" t="s">
        <v>413</v>
      </c>
    </row>
    <row r="136">
      <c r="A136" s="150" t="s">
        <v>10</v>
      </c>
      <c r="B136" s="151" t="s">
        <v>414</v>
      </c>
      <c r="C136" s="152" t="s">
        <v>71</v>
      </c>
      <c r="D136" s="151"/>
      <c r="E136" s="153" t="s">
        <v>81</v>
      </c>
      <c r="F136" s="153" t="s">
        <v>81</v>
      </c>
      <c r="G136" s="154" t="s">
        <v>81</v>
      </c>
      <c r="H136" s="121">
        <f>SUM(H137:H137)</f>
      </c>
      <c r="I136" s="121">
        <f>SUM(I137:I137)</f>
      </c>
      <c r="J136" s="121">
        <f>SUM(J137:J137)</f>
      </c>
      <c r="K136" s="155" t="s">
        <v>10</v>
      </c>
      <c r="AI136" s="135" t="s">
        <v>91</v>
      </c>
      <c r="AS136" s="121">
        <f>SUM(AJ137:AJ137)</f>
      </c>
      <c r="AT136" s="121">
        <f>SUM(AK137:AK137)</f>
      </c>
      <c r="AU136" s="121">
        <f>SUM(AL137:AL137)</f>
      </c>
    </row>
    <row r="137">
      <c r="A137" s="9" t="s">
        <v>415</v>
      </c>
      <c r="B137" s="10" t="s">
        <v>416</v>
      </c>
      <c r="C137" s="14" t="s">
        <v>417</v>
      </c>
      <c r="D137" s="10"/>
      <c r="E137" s="10" t="s">
        <v>406</v>
      </c>
      <c r="F137" s="114" t="n">
        <v>1</v>
      </c>
      <c r="G137" s="156" t="n">
        <v>0</v>
      </c>
      <c r="H137" s="114">
        <f>ROUND(F137*AO137,2)</f>
      </c>
      <c r="I137" s="114">
        <f>ROUND(F137*AP137,2)</f>
      </c>
      <c r="J137" s="114">
        <f>ROUND(F137*G137,2)</f>
      </c>
      <c r="K137" s="157" t="s">
        <v>10</v>
      </c>
      <c r="Z137" s="114">
        <f>ROUND(IF(AQ137="5",BJ137,0),2)</f>
      </c>
      <c r="AB137" s="114">
        <f>ROUND(IF(AQ137="1",BH137,0),2)</f>
      </c>
      <c r="AC137" s="114">
        <f>ROUND(IF(AQ137="1",BI137,0),2)</f>
      </c>
      <c r="AD137" s="114">
        <f>ROUND(IF(AQ137="7",BH137,0),2)</f>
      </c>
      <c r="AE137" s="114">
        <f>ROUND(IF(AQ137="7",BI137,0),2)</f>
      </c>
      <c r="AF137" s="114">
        <f>ROUND(IF(AQ137="2",BH137,0),2)</f>
      </c>
      <c r="AG137" s="114">
        <f>ROUND(IF(AQ137="2",BI137,0),2)</f>
      </c>
      <c r="AH137" s="114">
        <f>ROUND(IF(AQ137="0",BJ137,0),2)</f>
      </c>
      <c r="AI137" s="135" t="s">
        <v>91</v>
      </c>
      <c r="AJ137" s="114">
        <f>IF(AN137=0,J137,0)</f>
      </c>
      <c r="AK137" s="114">
        <f>IF(AN137=12,J137,0)</f>
      </c>
      <c r="AL137" s="114">
        <f>IF(AN137=21,J137,0)</f>
      </c>
      <c r="AN137" s="114" t="n">
        <v>21</v>
      </c>
      <c r="AO137" s="114">
        <f>G137*0</f>
      </c>
      <c r="AP137" s="114">
        <f>G137*(1-0)</f>
      </c>
      <c r="AQ137" s="158" t="s">
        <v>407</v>
      </c>
      <c r="AV137" s="114">
        <f>ROUND(AW137+AX137,2)</f>
      </c>
      <c r="AW137" s="114">
        <f>ROUND(F137*AO137,2)</f>
      </c>
      <c r="AX137" s="114">
        <f>ROUND(F137*AP137,2)</f>
      </c>
      <c r="AY137" s="158" t="s">
        <v>418</v>
      </c>
      <c r="AZ137" s="158" t="s">
        <v>409</v>
      </c>
      <c r="BA137" s="135" t="s">
        <v>410</v>
      </c>
      <c r="BC137" s="114">
        <f>AW137+AX137</f>
      </c>
      <c r="BD137" s="114">
        <f>G137/(100-BE137)*100</f>
      </c>
      <c r="BE137" s="114" t="n">
        <v>0</v>
      </c>
      <c r="BF137" s="114">
        <f>137</f>
      </c>
      <c r="BH137" s="114">
        <f>F137*AO137</f>
      </c>
      <c r="BI137" s="114">
        <f>F137*AP137</f>
      </c>
      <c r="BJ137" s="114">
        <f>F137*G137</f>
      </c>
      <c r="BK137" s="158" t="s">
        <v>138</v>
      </c>
      <c r="BL137" s="114"/>
      <c r="BN137" s="114">
        <f>F137*G137</f>
      </c>
      <c r="BW137" s="114" t="n">
        <v>21</v>
      </c>
      <c r="BX137" s="14" t="s">
        <v>417</v>
      </c>
    </row>
    <row r="138">
      <c r="A138" s="150" t="s">
        <v>10</v>
      </c>
      <c r="B138" s="151" t="s">
        <v>419</v>
      </c>
      <c r="C138" s="152" t="s">
        <v>27</v>
      </c>
      <c r="D138" s="151"/>
      <c r="E138" s="153" t="s">
        <v>81</v>
      </c>
      <c r="F138" s="153" t="s">
        <v>81</v>
      </c>
      <c r="G138" s="154" t="s">
        <v>81</v>
      </c>
      <c r="H138" s="121">
        <f>SUM(H139:H140)</f>
      </c>
      <c r="I138" s="121">
        <f>SUM(I139:I140)</f>
      </c>
      <c r="J138" s="121">
        <f>SUM(J139:J140)</f>
      </c>
      <c r="K138" s="155" t="s">
        <v>10</v>
      </c>
      <c r="AI138" s="135" t="s">
        <v>91</v>
      </c>
      <c r="AS138" s="121">
        <f>SUM(AJ139:AJ140)</f>
      </c>
      <c r="AT138" s="121">
        <f>SUM(AK139:AK140)</f>
      </c>
      <c r="AU138" s="121">
        <f>SUM(AL139:AL140)</f>
      </c>
    </row>
    <row r="139">
      <c r="A139" s="9" t="s">
        <v>420</v>
      </c>
      <c r="B139" s="10" t="s">
        <v>421</v>
      </c>
      <c r="C139" s="14" t="s">
        <v>27</v>
      </c>
      <c r="D139" s="10"/>
      <c r="E139" s="10" t="s">
        <v>406</v>
      </c>
      <c r="F139" s="114" t="n">
        <v>1</v>
      </c>
      <c r="G139" s="156" t="n">
        <v>0</v>
      </c>
      <c r="H139" s="114">
        <f>ROUND(F139*AO139,2)</f>
      </c>
      <c r="I139" s="114">
        <f>ROUND(F139*AP139,2)</f>
      </c>
      <c r="J139" s="114">
        <f>ROUND(F139*G139,2)</f>
      </c>
      <c r="K139" s="157" t="s">
        <v>10</v>
      </c>
      <c r="Z139" s="114">
        <f>ROUND(IF(AQ139="5",BJ139,0),2)</f>
      </c>
      <c r="AB139" s="114">
        <f>ROUND(IF(AQ139="1",BH139,0),2)</f>
      </c>
      <c r="AC139" s="114">
        <f>ROUND(IF(AQ139="1",BI139,0),2)</f>
      </c>
      <c r="AD139" s="114">
        <f>ROUND(IF(AQ139="7",BH139,0),2)</f>
      </c>
      <c r="AE139" s="114">
        <f>ROUND(IF(AQ139="7",BI139,0),2)</f>
      </c>
      <c r="AF139" s="114">
        <f>ROUND(IF(AQ139="2",BH139,0),2)</f>
      </c>
      <c r="AG139" s="114">
        <f>ROUND(IF(AQ139="2",BI139,0),2)</f>
      </c>
      <c r="AH139" s="114">
        <f>ROUND(IF(AQ139="0",BJ139,0),2)</f>
      </c>
      <c r="AI139" s="135" t="s">
        <v>91</v>
      </c>
      <c r="AJ139" s="114">
        <f>IF(AN139=0,J139,0)</f>
      </c>
      <c r="AK139" s="114">
        <f>IF(AN139=12,J139,0)</f>
      </c>
      <c r="AL139" s="114">
        <f>IF(AN139=21,J139,0)</f>
      </c>
      <c r="AN139" s="114" t="n">
        <v>21</v>
      </c>
      <c r="AO139" s="114">
        <f>G139*0</f>
      </c>
      <c r="AP139" s="114">
        <f>G139*(1-0)</f>
      </c>
      <c r="AQ139" s="158" t="s">
        <v>407</v>
      </c>
      <c r="AV139" s="114">
        <f>ROUND(AW139+AX139,2)</f>
      </c>
      <c r="AW139" s="114">
        <f>ROUND(F139*AO139,2)</f>
      </c>
      <c r="AX139" s="114">
        <f>ROUND(F139*AP139,2)</f>
      </c>
      <c r="AY139" s="158" t="s">
        <v>422</v>
      </c>
      <c r="AZ139" s="158" t="s">
        <v>409</v>
      </c>
      <c r="BA139" s="135" t="s">
        <v>410</v>
      </c>
      <c r="BC139" s="114">
        <f>AW139+AX139</f>
      </c>
      <c r="BD139" s="114">
        <f>G139/(100-BE139)*100</f>
      </c>
      <c r="BE139" s="114" t="n">
        <v>0</v>
      </c>
      <c r="BF139" s="114">
        <f>139</f>
      </c>
      <c r="BH139" s="114">
        <f>F139*AO139</f>
      </c>
      <c r="BI139" s="114">
        <f>F139*AP139</f>
      </c>
      <c r="BJ139" s="114">
        <f>F139*G139</f>
      </c>
      <c r="BK139" s="158" t="s">
        <v>138</v>
      </c>
      <c r="BL139" s="114"/>
      <c r="BO139" s="114">
        <f>F139*G139</f>
      </c>
      <c r="BW139" s="114" t="n">
        <v>21</v>
      </c>
      <c r="BX139" s="14" t="s">
        <v>27</v>
      </c>
    </row>
    <row r="140">
      <c r="A140" s="9" t="s">
        <v>423</v>
      </c>
      <c r="B140" s="10" t="s">
        <v>424</v>
      </c>
      <c r="C140" s="14" t="s">
        <v>425</v>
      </c>
      <c r="D140" s="10"/>
      <c r="E140" s="10" t="s">
        <v>406</v>
      </c>
      <c r="F140" s="114" t="n">
        <v>1</v>
      </c>
      <c r="G140" s="156" t="n">
        <v>0</v>
      </c>
      <c r="H140" s="114">
        <f>ROUND(F140*AO140,2)</f>
      </c>
      <c r="I140" s="114">
        <f>ROUND(F140*AP140,2)</f>
      </c>
      <c r="J140" s="114">
        <f>ROUND(F140*G140,2)</f>
      </c>
      <c r="K140" s="157" t="s">
        <v>10</v>
      </c>
      <c r="Z140" s="114">
        <f>ROUND(IF(AQ140="5",BJ140,0),2)</f>
      </c>
      <c r="AB140" s="114">
        <f>ROUND(IF(AQ140="1",BH140,0),2)</f>
      </c>
      <c r="AC140" s="114">
        <f>ROUND(IF(AQ140="1",BI140,0),2)</f>
      </c>
      <c r="AD140" s="114">
        <f>ROUND(IF(AQ140="7",BH140,0),2)</f>
      </c>
      <c r="AE140" s="114">
        <f>ROUND(IF(AQ140="7",BI140,0),2)</f>
      </c>
      <c r="AF140" s="114">
        <f>ROUND(IF(AQ140="2",BH140,0),2)</f>
      </c>
      <c r="AG140" s="114">
        <f>ROUND(IF(AQ140="2",BI140,0),2)</f>
      </c>
      <c r="AH140" s="114">
        <f>ROUND(IF(AQ140="0",BJ140,0),2)</f>
      </c>
      <c r="AI140" s="135" t="s">
        <v>91</v>
      </c>
      <c r="AJ140" s="114">
        <f>IF(AN140=0,J140,0)</f>
      </c>
      <c r="AK140" s="114">
        <f>IF(AN140=12,J140,0)</f>
      </c>
      <c r="AL140" s="114">
        <f>IF(AN140=21,J140,0)</f>
      </c>
      <c r="AN140" s="114" t="n">
        <v>21</v>
      </c>
      <c r="AO140" s="114">
        <f>G140*0</f>
      </c>
      <c r="AP140" s="114">
        <f>G140*(1-0)</f>
      </c>
      <c r="AQ140" s="158" t="s">
        <v>407</v>
      </c>
      <c r="AV140" s="114">
        <f>ROUND(AW140+AX140,2)</f>
      </c>
      <c r="AW140" s="114">
        <f>ROUND(F140*AO140,2)</f>
      </c>
      <c r="AX140" s="114">
        <f>ROUND(F140*AP140,2)</f>
      </c>
      <c r="AY140" s="158" t="s">
        <v>422</v>
      </c>
      <c r="AZ140" s="158" t="s">
        <v>409</v>
      </c>
      <c r="BA140" s="135" t="s">
        <v>410</v>
      </c>
      <c r="BC140" s="114">
        <f>AW140+AX140</f>
      </c>
      <c r="BD140" s="114">
        <f>G140/(100-BE140)*100</f>
      </c>
      <c r="BE140" s="114" t="n">
        <v>0</v>
      </c>
      <c r="BF140" s="114">
        <f>140</f>
      </c>
      <c r="BH140" s="114">
        <f>F140*AO140</f>
      </c>
      <c r="BI140" s="114">
        <f>F140*AP140</f>
      </c>
      <c r="BJ140" s="114">
        <f>F140*G140</f>
      </c>
      <c r="BK140" s="158" t="s">
        <v>138</v>
      </c>
      <c r="BL140" s="114"/>
      <c r="BO140" s="114">
        <f>F140*G140</f>
      </c>
      <c r="BW140" s="114" t="n">
        <v>21</v>
      </c>
      <c r="BX140" s="14" t="s">
        <v>425</v>
      </c>
    </row>
    <row r="141">
      <c r="A141" s="150" t="s">
        <v>10</v>
      </c>
      <c r="B141" s="151" t="s">
        <v>426</v>
      </c>
      <c r="C141" s="152" t="s">
        <v>72</v>
      </c>
      <c r="D141" s="151"/>
      <c r="E141" s="153" t="s">
        <v>81</v>
      </c>
      <c r="F141" s="153" t="s">
        <v>81</v>
      </c>
      <c r="G141" s="154" t="s">
        <v>81</v>
      </c>
      <c r="H141" s="121">
        <f>SUM(H142:H144)</f>
      </c>
      <c r="I141" s="121">
        <f>SUM(I142:I144)</f>
      </c>
      <c r="J141" s="121">
        <f>SUM(J142:J144)</f>
      </c>
      <c r="K141" s="155" t="s">
        <v>10</v>
      </c>
      <c r="AI141" s="135" t="s">
        <v>91</v>
      </c>
      <c r="AS141" s="121">
        <f>SUM(AJ142:AJ144)</f>
      </c>
      <c r="AT141" s="121">
        <f>SUM(AK142:AK144)</f>
      </c>
      <c r="AU141" s="121">
        <f>SUM(AL142:AL144)</f>
      </c>
    </row>
    <row r="142">
      <c r="A142" s="9" t="s">
        <v>427</v>
      </c>
      <c r="B142" s="10" t="s">
        <v>428</v>
      </c>
      <c r="C142" s="14" t="s">
        <v>429</v>
      </c>
      <c r="D142" s="10"/>
      <c r="E142" s="10" t="s">
        <v>406</v>
      </c>
      <c r="F142" s="114" t="n">
        <v>1</v>
      </c>
      <c r="G142" s="156" t="n">
        <v>0</v>
      </c>
      <c r="H142" s="114">
        <f>ROUND(F142*AO142,2)</f>
      </c>
      <c r="I142" s="114">
        <f>ROUND(F142*AP142,2)</f>
      </c>
      <c r="J142" s="114">
        <f>ROUND(F142*G142,2)</f>
      </c>
      <c r="K142" s="157" t="s">
        <v>10</v>
      </c>
      <c r="Z142" s="114">
        <f>ROUND(IF(AQ142="5",BJ142,0),2)</f>
      </c>
      <c r="AB142" s="114">
        <f>ROUND(IF(AQ142="1",BH142,0),2)</f>
      </c>
      <c r="AC142" s="114">
        <f>ROUND(IF(AQ142="1",BI142,0),2)</f>
      </c>
      <c r="AD142" s="114">
        <f>ROUND(IF(AQ142="7",BH142,0),2)</f>
      </c>
      <c r="AE142" s="114">
        <f>ROUND(IF(AQ142="7",BI142,0),2)</f>
      </c>
      <c r="AF142" s="114">
        <f>ROUND(IF(AQ142="2",BH142,0),2)</f>
      </c>
      <c r="AG142" s="114">
        <f>ROUND(IF(AQ142="2",BI142,0),2)</f>
      </c>
      <c r="AH142" s="114">
        <f>ROUND(IF(AQ142="0",BJ142,0),2)</f>
      </c>
      <c r="AI142" s="135" t="s">
        <v>91</v>
      </c>
      <c r="AJ142" s="114">
        <f>IF(AN142=0,J142,0)</f>
      </c>
      <c r="AK142" s="114">
        <f>IF(AN142=12,J142,0)</f>
      </c>
      <c r="AL142" s="114">
        <f>IF(AN142=21,J142,0)</f>
      </c>
      <c r="AN142" s="114" t="n">
        <v>21</v>
      </c>
      <c r="AO142" s="114">
        <f>G142*0</f>
      </c>
      <c r="AP142" s="114">
        <f>G142*(1-0)</f>
      </c>
      <c r="AQ142" s="158" t="s">
        <v>407</v>
      </c>
      <c r="AV142" s="114">
        <f>ROUND(AW142+AX142,2)</f>
      </c>
      <c r="AW142" s="114">
        <f>ROUND(F142*AO142,2)</f>
      </c>
      <c r="AX142" s="114">
        <f>ROUND(F142*AP142,2)</f>
      </c>
      <c r="AY142" s="158" t="s">
        <v>430</v>
      </c>
      <c r="AZ142" s="158" t="s">
        <v>409</v>
      </c>
      <c r="BA142" s="135" t="s">
        <v>410</v>
      </c>
      <c r="BC142" s="114">
        <f>AW142+AX142</f>
      </c>
      <c r="BD142" s="114">
        <f>G142/(100-BE142)*100</f>
      </c>
      <c r="BE142" s="114" t="n">
        <v>0</v>
      </c>
      <c r="BF142" s="114">
        <f>142</f>
      </c>
      <c r="BH142" s="114">
        <f>F142*AO142</f>
      </c>
      <c r="BI142" s="114">
        <f>F142*AP142</f>
      </c>
      <c r="BJ142" s="114">
        <f>F142*G142</f>
      </c>
      <c r="BK142" s="158" t="s">
        <v>138</v>
      </c>
      <c r="BL142" s="114"/>
      <c r="BP142" s="114">
        <f>F142*G142</f>
      </c>
      <c r="BW142" s="114" t="n">
        <v>21</v>
      </c>
      <c r="BX142" s="14" t="s">
        <v>429</v>
      </c>
    </row>
    <row r="143">
      <c r="A143" s="9" t="s">
        <v>431</v>
      </c>
      <c r="B143" s="10" t="s">
        <v>432</v>
      </c>
      <c r="C143" s="14" t="s">
        <v>433</v>
      </c>
      <c r="D143" s="10"/>
      <c r="E143" s="10" t="s">
        <v>406</v>
      </c>
      <c r="F143" s="114" t="n">
        <v>1</v>
      </c>
      <c r="G143" s="156" t="n">
        <v>0</v>
      </c>
      <c r="H143" s="114">
        <f>ROUND(F143*AO143,2)</f>
      </c>
      <c r="I143" s="114">
        <f>ROUND(F143*AP143,2)</f>
      </c>
      <c r="J143" s="114">
        <f>ROUND(F143*G143,2)</f>
      </c>
      <c r="K143" s="157" t="s">
        <v>10</v>
      </c>
      <c r="Z143" s="114">
        <f>ROUND(IF(AQ143="5",BJ143,0),2)</f>
      </c>
      <c r="AB143" s="114">
        <f>ROUND(IF(AQ143="1",BH143,0),2)</f>
      </c>
      <c r="AC143" s="114">
        <f>ROUND(IF(AQ143="1",BI143,0),2)</f>
      </c>
      <c r="AD143" s="114">
        <f>ROUND(IF(AQ143="7",BH143,0),2)</f>
      </c>
      <c r="AE143" s="114">
        <f>ROUND(IF(AQ143="7",BI143,0),2)</f>
      </c>
      <c r="AF143" s="114">
        <f>ROUND(IF(AQ143="2",BH143,0),2)</f>
      </c>
      <c r="AG143" s="114">
        <f>ROUND(IF(AQ143="2",BI143,0),2)</f>
      </c>
      <c r="AH143" s="114">
        <f>ROUND(IF(AQ143="0",BJ143,0),2)</f>
      </c>
      <c r="AI143" s="135" t="s">
        <v>91</v>
      </c>
      <c r="AJ143" s="114">
        <f>IF(AN143=0,J143,0)</f>
      </c>
      <c r="AK143" s="114">
        <f>IF(AN143=12,J143,0)</f>
      </c>
      <c r="AL143" s="114">
        <f>IF(AN143=21,J143,0)</f>
      </c>
      <c r="AN143" s="114" t="n">
        <v>21</v>
      </c>
      <c r="AO143" s="114">
        <f>G143*0</f>
      </c>
      <c r="AP143" s="114">
        <f>G143*(1-0)</f>
      </c>
      <c r="AQ143" s="158" t="s">
        <v>407</v>
      </c>
      <c r="AV143" s="114">
        <f>ROUND(AW143+AX143,2)</f>
      </c>
      <c r="AW143" s="114">
        <f>ROUND(F143*AO143,2)</f>
      </c>
      <c r="AX143" s="114">
        <f>ROUND(F143*AP143,2)</f>
      </c>
      <c r="AY143" s="158" t="s">
        <v>430</v>
      </c>
      <c r="AZ143" s="158" t="s">
        <v>409</v>
      </c>
      <c r="BA143" s="135" t="s">
        <v>410</v>
      </c>
      <c r="BC143" s="114">
        <f>AW143+AX143</f>
      </c>
      <c r="BD143" s="114">
        <f>G143/(100-BE143)*100</f>
      </c>
      <c r="BE143" s="114" t="n">
        <v>0</v>
      </c>
      <c r="BF143" s="114">
        <f>143</f>
      </c>
      <c r="BH143" s="114">
        <f>F143*AO143</f>
      </c>
      <c r="BI143" s="114">
        <f>F143*AP143</f>
      </c>
      <c r="BJ143" s="114">
        <f>F143*G143</f>
      </c>
      <c r="BK143" s="158" t="s">
        <v>138</v>
      </c>
      <c r="BL143" s="114"/>
      <c r="BP143" s="114">
        <f>F143*G143</f>
      </c>
      <c r="BW143" s="114" t="n">
        <v>21</v>
      </c>
      <c r="BX143" s="14" t="s">
        <v>433</v>
      </c>
    </row>
    <row r="144">
      <c r="A144" s="9" t="s">
        <v>434</v>
      </c>
      <c r="B144" s="10" t="s">
        <v>435</v>
      </c>
      <c r="C144" s="14" t="s">
        <v>436</v>
      </c>
      <c r="D144" s="10"/>
      <c r="E144" s="10" t="s">
        <v>406</v>
      </c>
      <c r="F144" s="114" t="n">
        <v>1</v>
      </c>
      <c r="G144" s="156" t="n">
        <v>0</v>
      </c>
      <c r="H144" s="114">
        <f>ROUND(F144*AO144,2)</f>
      </c>
      <c r="I144" s="114">
        <f>ROUND(F144*AP144,2)</f>
      </c>
      <c r="J144" s="114">
        <f>ROUND(F144*G144,2)</f>
      </c>
      <c r="K144" s="157" t="s">
        <v>10</v>
      </c>
      <c r="Z144" s="114">
        <f>ROUND(IF(AQ144="5",BJ144,0),2)</f>
      </c>
      <c r="AB144" s="114">
        <f>ROUND(IF(AQ144="1",BH144,0),2)</f>
      </c>
      <c r="AC144" s="114">
        <f>ROUND(IF(AQ144="1",BI144,0),2)</f>
      </c>
      <c r="AD144" s="114">
        <f>ROUND(IF(AQ144="7",BH144,0),2)</f>
      </c>
      <c r="AE144" s="114">
        <f>ROUND(IF(AQ144="7",BI144,0),2)</f>
      </c>
      <c r="AF144" s="114">
        <f>ROUND(IF(AQ144="2",BH144,0),2)</f>
      </c>
      <c r="AG144" s="114">
        <f>ROUND(IF(AQ144="2",BI144,0),2)</f>
      </c>
      <c r="AH144" s="114">
        <f>ROUND(IF(AQ144="0",BJ144,0),2)</f>
      </c>
      <c r="AI144" s="135" t="s">
        <v>91</v>
      </c>
      <c r="AJ144" s="114">
        <f>IF(AN144=0,J144,0)</f>
      </c>
      <c r="AK144" s="114">
        <f>IF(AN144=12,J144,0)</f>
      </c>
      <c r="AL144" s="114">
        <f>IF(AN144=21,J144,0)</f>
      </c>
      <c r="AN144" s="114" t="n">
        <v>21</v>
      </c>
      <c r="AO144" s="114">
        <f>G144*0</f>
      </c>
      <c r="AP144" s="114">
        <f>G144*(1-0)</f>
      </c>
      <c r="AQ144" s="158" t="s">
        <v>407</v>
      </c>
      <c r="AV144" s="114">
        <f>ROUND(AW144+AX144,2)</f>
      </c>
      <c r="AW144" s="114">
        <f>ROUND(F144*AO144,2)</f>
      </c>
      <c r="AX144" s="114">
        <f>ROUND(F144*AP144,2)</f>
      </c>
      <c r="AY144" s="158" t="s">
        <v>430</v>
      </c>
      <c r="AZ144" s="158" t="s">
        <v>409</v>
      </c>
      <c r="BA144" s="135" t="s">
        <v>410</v>
      </c>
      <c r="BC144" s="114">
        <f>AW144+AX144</f>
      </c>
      <c r="BD144" s="114">
        <f>G144/(100-BE144)*100</f>
      </c>
      <c r="BE144" s="114" t="n">
        <v>0</v>
      </c>
      <c r="BF144" s="114">
        <f>144</f>
      </c>
      <c r="BH144" s="114">
        <f>F144*AO144</f>
      </c>
      <c r="BI144" s="114">
        <f>F144*AP144</f>
      </c>
      <c r="BJ144" s="114">
        <f>F144*G144</f>
      </c>
      <c r="BK144" s="158" t="s">
        <v>138</v>
      </c>
      <c r="BL144" s="114"/>
      <c r="BP144" s="114">
        <f>F144*G144</f>
      </c>
      <c r="BW144" s="114" t="n">
        <v>21</v>
      </c>
      <c r="BX144" s="14" t="s">
        <v>436</v>
      </c>
    </row>
    <row r="145" customHeight="true" ht="13.5">
      <c r="A145" s="159"/>
      <c r="B145" s="160" t="s">
        <v>155</v>
      </c>
      <c r="C145" s="161" t="s">
        <v>437</v>
      </c>
      <c r="D145" s="162"/>
      <c r="E145" s="162"/>
      <c r="F145" s="162"/>
      <c r="G145" s="163"/>
      <c r="H145" s="162"/>
      <c r="I145" s="162"/>
      <c r="J145" s="162"/>
      <c r="K145" s="164"/>
    </row>
    <row r="146">
      <c r="A146" s="150" t="s">
        <v>10</v>
      </c>
      <c r="B146" s="151" t="s">
        <v>438</v>
      </c>
      <c r="C146" s="152" t="s">
        <v>73</v>
      </c>
      <c r="D146" s="151"/>
      <c r="E146" s="153" t="s">
        <v>81</v>
      </c>
      <c r="F146" s="153" t="s">
        <v>81</v>
      </c>
      <c r="G146" s="154" t="s">
        <v>81</v>
      </c>
      <c r="H146" s="121">
        <f>SUM(H147:H147)</f>
      </c>
      <c r="I146" s="121">
        <f>SUM(I147:I147)</f>
      </c>
      <c r="J146" s="121">
        <f>SUM(J147:J147)</f>
      </c>
      <c r="K146" s="155" t="s">
        <v>10</v>
      </c>
      <c r="AI146" s="135" t="s">
        <v>91</v>
      </c>
      <c r="AS146" s="121">
        <f>SUM(AJ147:AJ147)</f>
      </c>
      <c r="AT146" s="121">
        <f>SUM(AK147:AK147)</f>
      </c>
      <c r="AU146" s="121">
        <f>SUM(AL147:AL147)</f>
      </c>
    </row>
    <row r="147">
      <c r="A147" s="9" t="s">
        <v>439</v>
      </c>
      <c r="B147" s="10" t="s">
        <v>440</v>
      </c>
      <c r="C147" s="14" t="s">
        <v>441</v>
      </c>
      <c r="D147" s="10"/>
      <c r="E147" s="10" t="s">
        <v>406</v>
      </c>
      <c r="F147" s="114" t="n">
        <v>1</v>
      </c>
      <c r="G147" s="156" t="n">
        <v>0</v>
      </c>
      <c r="H147" s="114">
        <f>ROUND(F147*AO147,2)</f>
      </c>
      <c r="I147" s="114">
        <f>ROUND(F147*AP147,2)</f>
      </c>
      <c r="J147" s="114">
        <f>ROUND(F147*G147,2)</f>
      </c>
      <c r="K147" s="157" t="s">
        <v>10</v>
      </c>
      <c r="Z147" s="114">
        <f>ROUND(IF(AQ147="5",BJ147,0),2)</f>
      </c>
      <c r="AB147" s="114">
        <f>ROUND(IF(AQ147="1",BH147,0),2)</f>
      </c>
      <c r="AC147" s="114">
        <f>ROUND(IF(AQ147="1",BI147,0),2)</f>
      </c>
      <c r="AD147" s="114">
        <f>ROUND(IF(AQ147="7",BH147,0),2)</f>
      </c>
      <c r="AE147" s="114">
        <f>ROUND(IF(AQ147="7",BI147,0),2)</f>
      </c>
      <c r="AF147" s="114">
        <f>ROUND(IF(AQ147="2",BH147,0),2)</f>
      </c>
      <c r="AG147" s="114">
        <f>ROUND(IF(AQ147="2",BI147,0),2)</f>
      </c>
      <c r="AH147" s="114">
        <f>ROUND(IF(AQ147="0",BJ147,0),2)</f>
      </c>
      <c r="AI147" s="135" t="s">
        <v>91</v>
      </c>
      <c r="AJ147" s="114">
        <f>IF(AN147=0,J147,0)</f>
      </c>
      <c r="AK147" s="114">
        <f>IF(AN147=12,J147,0)</f>
      </c>
      <c r="AL147" s="114">
        <f>IF(AN147=21,J147,0)</f>
      </c>
      <c r="AN147" s="114" t="n">
        <v>21</v>
      </c>
      <c r="AO147" s="114">
        <f>G147*0</f>
      </c>
      <c r="AP147" s="114">
        <f>G147*(1-0)</f>
      </c>
      <c r="AQ147" s="158" t="s">
        <v>407</v>
      </c>
      <c r="AV147" s="114">
        <f>ROUND(AW147+AX147,2)</f>
      </c>
      <c r="AW147" s="114">
        <f>ROUND(F147*AO147,2)</f>
      </c>
      <c r="AX147" s="114">
        <f>ROUND(F147*AP147,2)</f>
      </c>
      <c r="AY147" s="158" t="s">
        <v>442</v>
      </c>
      <c r="AZ147" s="158" t="s">
        <v>409</v>
      </c>
      <c r="BA147" s="135" t="s">
        <v>410</v>
      </c>
      <c r="BC147" s="114">
        <f>AW147+AX147</f>
      </c>
      <c r="BD147" s="114">
        <f>G147/(100-BE147)*100</f>
      </c>
      <c r="BE147" s="114" t="n">
        <v>0</v>
      </c>
      <c r="BF147" s="114">
        <f>147</f>
      </c>
      <c r="BH147" s="114">
        <f>F147*AO147</f>
      </c>
      <c r="BI147" s="114">
        <f>F147*AP147</f>
      </c>
      <c r="BJ147" s="114">
        <f>F147*G147</f>
      </c>
      <c r="BK147" s="158" t="s">
        <v>138</v>
      </c>
      <c r="BL147" s="114"/>
      <c r="BQ147" s="114">
        <f>F147*G147</f>
      </c>
      <c r="BW147" s="114" t="n">
        <v>21</v>
      </c>
      <c r="BX147" s="14" t="s">
        <v>441</v>
      </c>
    </row>
    <row r="148">
      <c r="A148" s="150" t="s">
        <v>10</v>
      </c>
      <c r="B148" s="151" t="s">
        <v>443</v>
      </c>
      <c r="C148" s="152" t="s">
        <v>34</v>
      </c>
      <c r="D148" s="151"/>
      <c r="E148" s="153" t="s">
        <v>81</v>
      </c>
      <c r="F148" s="153" t="s">
        <v>81</v>
      </c>
      <c r="G148" s="154" t="s">
        <v>81</v>
      </c>
      <c r="H148" s="121">
        <f>SUM(H149:H150)</f>
      </c>
      <c r="I148" s="121">
        <f>SUM(I149:I150)</f>
      </c>
      <c r="J148" s="121">
        <f>SUM(J149:J150)</f>
      </c>
      <c r="K148" s="155" t="s">
        <v>10</v>
      </c>
      <c r="AI148" s="135" t="s">
        <v>91</v>
      </c>
      <c r="AS148" s="121">
        <f>SUM(AJ149:AJ150)</f>
      </c>
      <c r="AT148" s="121">
        <f>SUM(AK149:AK150)</f>
      </c>
      <c r="AU148" s="121">
        <f>SUM(AL149:AL150)</f>
      </c>
    </row>
    <row r="149">
      <c r="A149" s="9" t="s">
        <v>444</v>
      </c>
      <c r="B149" s="10" t="s">
        <v>445</v>
      </c>
      <c r="C149" s="14" t="s">
        <v>446</v>
      </c>
      <c r="D149" s="10"/>
      <c r="E149" s="10" t="s">
        <v>406</v>
      </c>
      <c r="F149" s="114" t="n">
        <v>1</v>
      </c>
      <c r="G149" s="156" t="n">
        <v>0</v>
      </c>
      <c r="H149" s="114">
        <f>ROUND(F149*AO149,2)</f>
      </c>
      <c r="I149" s="114">
        <f>ROUND(F149*AP149,2)</f>
      </c>
      <c r="J149" s="114">
        <f>ROUND(F149*G149,2)</f>
      </c>
      <c r="K149" s="157" t="s">
        <v>10</v>
      </c>
      <c r="Z149" s="114">
        <f>ROUND(IF(AQ149="5",BJ149,0),2)</f>
      </c>
      <c r="AB149" s="114">
        <f>ROUND(IF(AQ149="1",BH149,0),2)</f>
      </c>
      <c r="AC149" s="114">
        <f>ROUND(IF(AQ149="1",BI149,0),2)</f>
      </c>
      <c r="AD149" s="114">
        <f>ROUND(IF(AQ149="7",BH149,0),2)</f>
      </c>
      <c r="AE149" s="114">
        <f>ROUND(IF(AQ149="7",BI149,0),2)</f>
      </c>
      <c r="AF149" s="114">
        <f>ROUND(IF(AQ149="2",BH149,0),2)</f>
      </c>
      <c r="AG149" s="114">
        <f>ROUND(IF(AQ149="2",BI149,0),2)</f>
      </c>
      <c r="AH149" s="114">
        <f>ROUND(IF(AQ149="0",BJ149,0),2)</f>
      </c>
      <c r="AI149" s="135" t="s">
        <v>91</v>
      </c>
      <c r="AJ149" s="114">
        <f>IF(AN149=0,J149,0)</f>
      </c>
      <c r="AK149" s="114">
        <f>IF(AN149=12,J149,0)</f>
      </c>
      <c r="AL149" s="114">
        <f>IF(AN149=21,J149,0)</f>
      </c>
      <c r="AN149" s="114" t="n">
        <v>21</v>
      </c>
      <c r="AO149" s="114">
        <f>G149*0</f>
      </c>
      <c r="AP149" s="114">
        <f>G149*(1-0)</f>
      </c>
      <c r="AQ149" s="158" t="s">
        <v>407</v>
      </c>
      <c r="AV149" s="114">
        <f>ROUND(AW149+AX149,2)</f>
      </c>
      <c r="AW149" s="114">
        <f>ROUND(F149*AO149,2)</f>
      </c>
      <c r="AX149" s="114">
        <f>ROUND(F149*AP149,2)</f>
      </c>
      <c r="AY149" s="158" t="s">
        <v>447</v>
      </c>
      <c r="AZ149" s="158" t="s">
        <v>409</v>
      </c>
      <c r="BA149" s="135" t="s">
        <v>410</v>
      </c>
      <c r="BC149" s="114">
        <f>AW149+AX149</f>
      </c>
      <c r="BD149" s="114">
        <f>G149/(100-BE149)*100</f>
      </c>
      <c r="BE149" s="114" t="n">
        <v>0</v>
      </c>
      <c r="BF149" s="114">
        <f>149</f>
      </c>
      <c r="BH149" s="114">
        <f>F149*AO149</f>
      </c>
      <c r="BI149" s="114">
        <f>F149*AP149</f>
      </c>
      <c r="BJ149" s="114">
        <f>F149*G149</f>
      </c>
      <c r="BK149" s="158" t="s">
        <v>138</v>
      </c>
      <c r="BL149" s="114"/>
      <c r="BS149" s="114">
        <f>F149*G149</f>
      </c>
      <c r="BW149" s="114" t="n">
        <v>21</v>
      </c>
      <c r="BX149" s="14" t="s">
        <v>446</v>
      </c>
    </row>
    <row r="150">
      <c r="A150" s="9" t="s">
        <v>448</v>
      </c>
      <c r="B150" s="10" t="s">
        <v>449</v>
      </c>
      <c r="C150" s="14" t="s">
        <v>450</v>
      </c>
      <c r="D150" s="10"/>
      <c r="E150" s="10" t="s">
        <v>406</v>
      </c>
      <c r="F150" s="114" t="n">
        <v>1</v>
      </c>
      <c r="G150" s="156" t="n">
        <v>0</v>
      </c>
      <c r="H150" s="114">
        <f>ROUND(F150*AO150,2)</f>
      </c>
      <c r="I150" s="114">
        <f>ROUND(F150*AP150,2)</f>
      </c>
      <c r="J150" s="114">
        <f>ROUND(F150*G150,2)</f>
      </c>
      <c r="K150" s="157" t="s">
        <v>10</v>
      </c>
      <c r="Z150" s="114">
        <f>ROUND(IF(AQ150="5",BJ150,0),2)</f>
      </c>
      <c r="AB150" s="114">
        <f>ROUND(IF(AQ150="1",BH150,0),2)</f>
      </c>
      <c r="AC150" s="114">
        <f>ROUND(IF(AQ150="1",BI150,0),2)</f>
      </c>
      <c r="AD150" s="114">
        <f>ROUND(IF(AQ150="7",BH150,0),2)</f>
      </c>
      <c r="AE150" s="114">
        <f>ROUND(IF(AQ150="7",BI150,0),2)</f>
      </c>
      <c r="AF150" s="114">
        <f>ROUND(IF(AQ150="2",BH150,0),2)</f>
      </c>
      <c r="AG150" s="114">
        <f>ROUND(IF(AQ150="2",BI150,0),2)</f>
      </c>
      <c r="AH150" s="114">
        <f>ROUND(IF(AQ150="0",BJ150,0),2)</f>
      </c>
      <c r="AI150" s="135" t="s">
        <v>91</v>
      </c>
      <c r="AJ150" s="114">
        <f>IF(AN150=0,J150,0)</f>
      </c>
      <c r="AK150" s="114">
        <f>IF(AN150=12,J150,0)</f>
      </c>
      <c r="AL150" s="114">
        <f>IF(AN150=21,J150,0)</f>
      </c>
      <c r="AN150" s="114" t="n">
        <v>21</v>
      </c>
      <c r="AO150" s="114">
        <f>G150*0</f>
      </c>
      <c r="AP150" s="114">
        <f>G150*(1-0)</f>
      </c>
      <c r="AQ150" s="158" t="s">
        <v>407</v>
      </c>
      <c r="AV150" s="114">
        <f>ROUND(AW150+AX150,2)</f>
      </c>
      <c r="AW150" s="114">
        <f>ROUND(F150*AO150,2)</f>
      </c>
      <c r="AX150" s="114">
        <f>ROUND(F150*AP150,2)</f>
      </c>
      <c r="AY150" s="158" t="s">
        <v>447</v>
      </c>
      <c r="AZ150" s="158" t="s">
        <v>409</v>
      </c>
      <c r="BA150" s="135" t="s">
        <v>410</v>
      </c>
      <c r="BC150" s="114">
        <f>AW150+AX150</f>
      </c>
      <c r="BD150" s="114">
        <f>G150/(100-BE150)*100</f>
      </c>
      <c r="BE150" s="114" t="n">
        <v>0</v>
      </c>
      <c r="BF150" s="114">
        <f>150</f>
      </c>
      <c r="BH150" s="114">
        <f>F150*AO150</f>
      </c>
      <c r="BI150" s="114">
        <f>F150*AP150</f>
      </c>
      <c r="BJ150" s="114">
        <f>F150*G150</f>
      </c>
      <c r="BK150" s="158" t="s">
        <v>138</v>
      </c>
      <c r="BL150" s="114"/>
      <c r="BS150" s="114">
        <f>F150*G150</f>
      </c>
      <c r="BW150" s="114" t="n">
        <v>21</v>
      </c>
      <c r="BX150" s="14" t="s">
        <v>450</v>
      </c>
    </row>
    <row r="151">
      <c r="A151" s="150" t="s">
        <v>10</v>
      </c>
      <c r="B151" s="151" t="s">
        <v>451</v>
      </c>
      <c r="C151" s="152" t="s">
        <v>75</v>
      </c>
      <c r="D151" s="151"/>
      <c r="E151" s="153" t="s">
        <v>81</v>
      </c>
      <c r="F151" s="153" t="s">
        <v>81</v>
      </c>
      <c r="G151" s="154" t="s">
        <v>81</v>
      </c>
      <c r="H151" s="121">
        <f>SUM(H152:H152)</f>
      </c>
      <c r="I151" s="121">
        <f>SUM(I152:I152)</f>
      </c>
      <c r="J151" s="121">
        <f>SUM(J152:J152)</f>
      </c>
      <c r="K151" s="155" t="s">
        <v>10</v>
      </c>
      <c r="AI151" s="135" t="s">
        <v>91</v>
      </c>
      <c r="AS151" s="121">
        <f>SUM(AJ152:AJ152)</f>
      </c>
      <c r="AT151" s="121">
        <f>SUM(AK152:AK152)</f>
      </c>
      <c r="AU151" s="121">
        <f>SUM(AL152:AL152)</f>
      </c>
    </row>
    <row r="152">
      <c r="A152" s="9" t="s">
        <v>452</v>
      </c>
      <c r="B152" s="10" t="s">
        <v>453</v>
      </c>
      <c r="C152" s="14" t="s">
        <v>454</v>
      </c>
      <c r="D152" s="10"/>
      <c r="E152" s="10" t="s">
        <v>406</v>
      </c>
      <c r="F152" s="114" t="n">
        <v>1</v>
      </c>
      <c r="G152" s="156" t="n">
        <v>0</v>
      </c>
      <c r="H152" s="114">
        <f>ROUND(F152*AO152,2)</f>
      </c>
      <c r="I152" s="114">
        <f>ROUND(F152*AP152,2)</f>
      </c>
      <c r="J152" s="114">
        <f>ROUND(F152*G152,2)</f>
      </c>
      <c r="K152" s="157" t="s">
        <v>10</v>
      </c>
      <c r="Z152" s="114">
        <f>ROUND(IF(AQ152="5",BJ152,0),2)</f>
      </c>
      <c r="AB152" s="114">
        <f>ROUND(IF(AQ152="1",BH152,0),2)</f>
      </c>
      <c r="AC152" s="114">
        <f>ROUND(IF(AQ152="1",BI152,0),2)</f>
      </c>
      <c r="AD152" s="114">
        <f>ROUND(IF(AQ152="7",BH152,0),2)</f>
      </c>
      <c r="AE152" s="114">
        <f>ROUND(IF(AQ152="7",BI152,0),2)</f>
      </c>
      <c r="AF152" s="114">
        <f>ROUND(IF(AQ152="2",BH152,0),2)</f>
      </c>
      <c r="AG152" s="114">
        <f>ROUND(IF(AQ152="2",BI152,0),2)</f>
      </c>
      <c r="AH152" s="114">
        <f>ROUND(IF(AQ152="0",BJ152,0),2)</f>
      </c>
      <c r="AI152" s="135" t="s">
        <v>91</v>
      </c>
      <c r="AJ152" s="114">
        <f>IF(AN152=0,J152,0)</f>
      </c>
      <c r="AK152" s="114">
        <f>IF(AN152=12,J152,0)</f>
      </c>
      <c r="AL152" s="114">
        <f>IF(AN152=21,J152,0)</f>
      </c>
      <c r="AN152" s="114" t="n">
        <v>21</v>
      </c>
      <c r="AO152" s="114">
        <f>G152*0</f>
      </c>
      <c r="AP152" s="114">
        <f>G152*(1-0)</f>
      </c>
      <c r="AQ152" s="158" t="s">
        <v>407</v>
      </c>
      <c r="AV152" s="114">
        <f>ROUND(AW152+AX152,2)</f>
      </c>
      <c r="AW152" s="114">
        <f>ROUND(F152*AO152,2)</f>
      </c>
      <c r="AX152" s="114">
        <f>ROUND(F152*AP152,2)</f>
      </c>
      <c r="AY152" s="158" t="s">
        <v>455</v>
      </c>
      <c r="AZ152" s="158" t="s">
        <v>409</v>
      </c>
      <c r="BA152" s="135" t="s">
        <v>410</v>
      </c>
      <c r="BC152" s="114">
        <f>AW152+AX152</f>
      </c>
      <c r="BD152" s="114">
        <f>G152/(100-BE152)*100</f>
      </c>
      <c r="BE152" s="114" t="n">
        <v>0</v>
      </c>
      <c r="BF152" s="114">
        <f>152</f>
      </c>
      <c r="BH152" s="114">
        <f>F152*AO152</f>
      </c>
      <c r="BI152" s="114">
        <f>F152*AP152</f>
      </c>
      <c r="BJ152" s="114">
        <f>F152*G152</f>
      </c>
      <c r="BK152" s="158" t="s">
        <v>138</v>
      </c>
      <c r="BL152" s="114"/>
      <c r="BU152" s="114">
        <f>F152*G152</f>
      </c>
      <c r="BW152" s="114" t="n">
        <v>21</v>
      </c>
      <c r="BX152" s="14" t="s">
        <v>454</v>
      </c>
    </row>
    <row r="153" customHeight="true" ht="13.5">
      <c r="A153" s="165"/>
      <c r="B153" s="166" t="s">
        <v>155</v>
      </c>
      <c r="C153" s="167" t="s">
        <v>456</v>
      </c>
      <c r="D153" s="168"/>
      <c r="E153" s="168"/>
      <c r="F153" s="168"/>
      <c r="G153" s="169"/>
      <c r="H153" s="168"/>
      <c r="I153" s="168"/>
      <c r="J153" s="168"/>
      <c r="K153" s="170"/>
    </row>
    <row r="154">
      <c r="H154" s="118" t="s">
        <v>92</v>
      </c>
      <c r="I154" s="118"/>
      <c r="J154" s="119">
        <f>ROUND(J13+J18+J21+J30+J37+J39+J41+J44+J48+J50+J59+J63+J67+J70+J73+J81+J86+J89+J91+J100+J102+J113+J115+J118+J133+J136+J138+J141+J146+J148+J151,2)</f>
      </c>
    </row>
    <row r="155">
      <c r="A155" s="120" t="s">
        <v>58</v>
      </c>
    </row>
    <row r="156" customHeight="true" ht="12.75">
      <c r="A156" s="14" t="s">
        <v>10</v>
      </c>
      <c r="B156" s="10"/>
      <c r="C156" s="10"/>
      <c r="D156" s="10"/>
      <c r="E156" s="10"/>
      <c r="F156" s="10"/>
      <c r="G156" s="10"/>
      <c r="H156" s="10"/>
      <c r="I156" s="10"/>
      <c r="J156" s="10"/>
      <c r="K156" s="10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ED0E"/>
  <mergeCells>
    <mergeCell ref="A1:K1"/>
    <mergeCell ref="A2:B3"/>
    <mergeCell ref="A4:B5"/>
    <mergeCell ref="A6:B7"/>
    <mergeCell ref="A8:B9"/>
    <mergeCell ref="E2:F3"/>
    <mergeCell ref="E4:F5"/>
    <mergeCell ref="E6:F7"/>
    <mergeCell ref="E8:F9"/>
    <mergeCell ref="H2:H3"/>
    <mergeCell ref="H4:H5"/>
    <mergeCell ref="H6:H7"/>
    <mergeCell ref="H8:H9"/>
    <mergeCell ref="C2:D3"/>
    <mergeCell ref="C4:D5"/>
    <mergeCell ref="C6:D7"/>
    <mergeCell ref="C8:D9"/>
    <mergeCell ref="G2:G3"/>
    <mergeCell ref="G4:G5"/>
    <mergeCell ref="G6:G7"/>
    <mergeCell ref="G8:G9"/>
    <mergeCell ref="I2:K3"/>
    <mergeCell ref="I4:K5"/>
    <mergeCell ref="I6:K7"/>
    <mergeCell ref="I8:K9"/>
    <mergeCell ref="C10:D10"/>
    <mergeCell ref="C11:D11"/>
    <mergeCell ref="H10:J10"/>
    <mergeCell ref="C12:D12"/>
    <mergeCell ref="C13:D13"/>
    <mergeCell ref="C14:D14"/>
    <mergeCell ref="C15:D15"/>
    <mergeCell ref="C16:D16"/>
    <mergeCell ref="C17:D17"/>
    <mergeCell ref="C18:D18"/>
    <mergeCell ref="C19:D19"/>
    <mergeCell ref="C20:K20"/>
    <mergeCell ref="C21:D21"/>
    <mergeCell ref="C22:D22"/>
    <mergeCell ref="C23:D23"/>
    <mergeCell ref="C24:D24"/>
    <mergeCell ref="C25:K25"/>
    <mergeCell ref="C26:D26"/>
    <mergeCell ref="C27:D27"/>
    <mergeCell ref="C28:D28"/>
    <mergeCell ref="C29:D29"/>
    <mergeCell ref="C30:D30"/>
    <mergeCell ref="C31:D31"/>
    <mergeCell ref="C32:K32"/>
    <mergeCell ref="C33:D33"/>
    <mergeCell ref="C34:K34"/>
    <mergeCell ref="C35:D35"/>
    <mergeCell ref="C36:K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K46"/>
    <mergeCell ref="C47:K47"/>
    <mergeCell ref="C48:D48"/>
    <mergeCell ref="C49:D49"/>
    <mergeCell ref="C50:D50"/>
    <mergeCell ref="C51:D51"/>
    <mergeCell ref="C52:K52"/>
    <mergeCell ref="C53:D53"/>
    <mergeCell ref="C54:K54"/>
    <mergeCell ref="C55:D55"/>
    <mergeCell ref="C56:K56"/>
    <mergeCell ref="C57:D57"/>
    <mergeCell ref="C58:K58"/>
    <mergeCell ref="C59:D59"/>
    <mergeCell ref="C60:D60"/>
    <mergeCell ref="C61:K61"/>
    <mergeCell ref="C62:D62"/>
    <mergeCell ref="C63:D63"/>
    <mergeCell ref="C64:D64"/>
    <mergeCell ref="C65:D65"/>
    <mergeCell ref="C66:D66"/>
    <mergeCell ref="C67:D67"/>
    <mergeCell ref="C68:D68"/>
    <mergeCell ref="C69:K69"/>
    <mergeCell ref="C70:D70"/>
    <mergeCell ref="C71:D71"/>
    <mergeCell ref="C72:D72"/>
    <mergeCell ref="C73:D73"/>
    <mergeCell ref="C74:D74"/>
    <mergeCell ref="C75:K75"/>
    <mergeCell ref="C76:D76"/>
    <mergeCell ref="C77:K77"/>
    <mergeCell ref="C78:D78"/>
    <mergeCell ref="C79:K79"/>
    <mergeCell ref="C80:D80"/>
    <mergeCell ref="C81:D81"/>
    <mergeCell ref="C82:D82"/>
    <mergeCell ref="C83:K83"/>
    <mergeCell ref="C84:D84"/>
    <mergeCell ref="C85:K85"/>
    <mergeCell ref="C86:D86"/>
    <mergeCell ref="C87:D87"/>
    <mergeCell ref="C88:K88"/>
    <mergeCell ref="C89:D89"/>
    <mergeCell ref="C90:D90"/>
    <mergeCell ref="C91:D91"/>
    <mergeCell ref="C92:D92"/>
    <mergeCell ref="C93:K93"/>
    <mergeCell ref="C94:D94"/>
    <mergeCell ref="C95:K95"/>
    <mergeCell ref="C96:D96"/>
    <mergeCell ref="C97:K97"/>
    <mergeCell ref="C98:D98"/>
    <mergeCell ref="C99:K99"/>
    <mergeCell ref="C100:D100"/>
    <mergeCell ref="C101:D101"/>
    <mergeCell ref="C102:D102"/>
    <mergeCell ref="C103:D103"/>
    <mergeCell ref="C104:D104"/>
    <mergeCell ref="C105:D105"/>
    <mergeCell ref="C106:D106"/>
    <mergeCell ref="C107:K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K120"/>
    <mergeCell ref="C121:D121"/>
    <mergeCell ref="C122:K122"/>
    <mergeCell ref="C123:D123"/>
    <mergeCell ref="C124:K124"/>
    <mergeCell ref="C125:D125"/>
    <mergeCell ref="C126:K126"/>
    <mergeCell ref="C127:D127"/>
    <mergeCell ref="C128:K128"/>
    <mergeCell ref="C129:D129"/>
    <mergeCell ref="C130:K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K145"/>
    <mergeCell ref="C146:D146"/>
    <mergeCell ref="C147:D147"/>
    <mergeCell ref="C148:D148"/>
    <mergeCell ref="C149:D149"/>
    <mergeCell ref="C150:D150"/>
    <mergeCell ref="C151:D151"/>
    <mergeCell ref="C152:D152"/>
    <mergeCell ref="C153:K153"/>
    <mergeCell ref="H154:I154"/>
    <mergeCell ref="A156:K156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>HP</dc:creator>
  <cp:lastModifiedBy>HP</cp:lastModifiedBy>
  <dcterms:created xsi:type="dcterms:W3CDTF">2021-06-10T20:06:38.031Z</dcterms:created>
  <dcterms:modified xsi:type="dcterms:W3CDTF">2021-06-10T20:06:38.351Z</dcterms:modified>
</cp:coreProperties>
</file>