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45" activeTab="2"/>
  </bookViews>
  <sheets>
    <sheet name="Rekapitulace stavby" sheetId="1" r:id="rId1"/>
    <sheet name="SO - 01a - Elektromontáže" sheetId="2" r:id="rId2"/>
    <sheet name="SO - 01 - Zemní práce" sheetId="3" r:id="rId3"/>
  </sheets>
  <definedNames>
    <definedName name="_xlnm.Print_Titles">'SO - 01 - Zemní práce'!#REF!</definedName>
    <definedName name="_xlnm.Print_Area" localSheetId="0">'Rekapitulace stavby'!$B$2:$AQ$53</definedName>
    <definedName name="_xlnm.Print_Area" localSheetId="2">'SO - 01 - Zemní práce'!$B$3:$K$225</definedName>
    <definedName name="_xlnm.Print_Area" localSheetId="1">'SO - 01a - Elektromontáže'!$B$3:$K$207</definedName>
    <definedName name="_xlnm.Print_Area">'Rekapitulace stavby'!$A$1:$AR$55</definedName>
    <definedName name="Print_Area_1">0</definedName>
    <definedName name="Print_Area_2">0</definedName>
    <definedName name="Print_Titles_1">0</definedName>
  </definedNames>
  <calcPr fullCalcOnLoad="1"/>
</workbook>
</file>

<file path=xl/sharedStrings.xml><?xml version="1.0" encoding="utf-8"?>
<sst xmlns="http://schemas.openxmlformats.org/spreadsheetml/2006/main" count="1673" uniqueCount="484">
  <si>
    <t>REKAPITULACE STAVBY</t>
  </si>
  <si>
    <t>Kód:</t>
  </si>
  <si>
    <t>701</t>
  </si>
  <si>
    <t>Stavba:</t>
  </si>
  <si>
    <t xml:space="preserve">Rekonstrukce VO vmístní části Stará Lhotka v České Třebové                                                                            </t>
  </si>
  <si>
    <t>KSO:</t>
  </si>
  <si>
    <t>CC-CZ:</t>
  </si>
  <si>
    <t>Místo:</t>
  </si>
  <si>
    <t>Česká Třebová</t>
  </si>
  <si>
    <t>Datum:</t>
  </si>
  <si>
    <t>Zadavatel:</t>
  </si>
  <si>
    <t>IČ:</t>
  </si>
  <si>
    <t>Město Česká Třebová</t>
  </si>
  <si>
    <t>DIČ:</t>
  </si>
  <si>
    <t>Uchazeč:</t>
  </si>
  <si>
    <t xml:space="preserve"> </t>
  </si>
  <si>
    <t>Projektant:</t>
  </si>
  <si>
    <t>ADECO spol. s r.o. Česká Třebová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</si>
  <si>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</si>
  <si>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</si>
  <si>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</si>
  <si>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</si>
  <si>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</si>
  <si>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</si>
  <si>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</si>
  <si>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</si>
  <si>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</si>
  <si>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</si>
  <si>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</si>
  <si>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</si>
  <si>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</si>
  <si>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</si>
  <si>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</si>
  <si>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Kód</t>
  </si>
  <si>
    <t>Objekt, Soupis prací</t>
  </si>
  <si>
    <t>Cena bez DPH [CZK]</t>
  </si>
  <si>
    <t>Cena s DPH [CZK]</t>
  </si>
  <si>
    <t>Typ</t>
  </si>
  <si>
    <t>Náklady stavby celkem</t>
  </si>
  <si>
    <t>SO - 01a</t>
  </si>
  <si>
    <t>Elektromontáže</t>
  </si>
  <si>
    <t>STA</t>
  </si>
  <si>
    <t>SO - 01</t>
  </si>
  <si>
    <t>Zemní práce pro 1.Etapu</t>
  </si>
  <si>
    <t>List obsahuje:</t>
  </si>
  <si>
    <t>1) Krycí list soupisu</t>
  </si>
  <si>
    <t>2) Rekapitulace</t>
  </si>
  <si>
    <t>3) Soupis prací</t>
  </si>
  <si>
    <t>Zpět na list:</t>
  </si>
  <si>
    <t>KRYCÍ LIST SOUPISU</t>
  </si>
  <si>
    <t>Rekonstrukce VO vmístní části Stará Lhotka v České Třebové</t>
  </si>
  <si>
    <t>Objekt:</t>
  </si>
  <si>
    <t>SO - 01a - Elektromontáže</t>
  </si>
  <si>
    <t>ADECO spol. s.r.o. Česká Třebová</t>
  </si>
  <si>
    <t>Ceny elektromontážních prací jsou stanoveny z časových položek ceníku 21M pro sazbu 280Kč/hod.
Ceny běžného materiálu jsou stanoveny z běžných cen velkoobchodů.
Ceny svítidel a osv. stožárů jsou stanoveny jako průměr z cenových nabídek potenciálních výrobců a dodavatelů.</t>
  </si>
  <si>
    <t>REKAPITULACE ČLENĚNÍ SOUPISU PRACÍ</t>
  </si>
  <si>
    <t>Kód dílu - Popis</t>
  </si>
  <si>
    <t>Cena celkem [CZK]</t>
  </si>
  <si>
    <t>Náklady soupisu celkem</t>
  </si>
  <si>
    <t>D1 - Elektromontážní práce</t>
  </si>
  <si>
    <t>D2 - Demontáže</t>
  </si>
  <si>
    <t>HSV - HSV</t>
  </si>
  <si>
    <t xml:space="preserve">    D3 - Material</t>
  </si>
  <si>
    <t>HZS - Hodinové zúčtovací sazby</t>
  </si>
  <si>
    <t>VRN - Vedlejší rozpočtové náklady</t>
  </si>
  <si>
    <t xml:space="preserve">    VRN4 - Inženýrská činnost</t>
  </si>
  <si>
    <t xml:space="preserve">    VRN7 - Provozní vlivy</t>
  </si>
  <si>
    <t>SOUPIS PRACÍ</t>
  </si>
  <si>
    <t>PČ</t>
  </si>
  <si>
    <t>Popis</t>
  </si>
  <si>
    <t>MJ</t>
  </si>
  <si>
    <t>Množství</t>
  </si>
  <si>
    <t>J.cena [CZK]</t>
  </si>
  <si>
    <t>Cenová soustava</t>
  </si>
  <si>
    <t>D</t>
  </si>
  <si>
    <t>D1</t>
  </si>
  <si>
    <t>Elektromontážní práce</t>
  </si>
  <si>
    <t>1</t>
  </si>
  <si>
    <t>K</t>
  </si>
  <si>
    <t>Pol1</t>
  </si>
  <si>
    <t>výstr. a označ.tab.smaltovaná A3-A4</t>
  </si>
  <si>
    <t>ks</t>
  </si>
  <si>
    <t>PP</t>
  </si>
  <si>
    <t>2</t>
  </si>
  <si>
    <t>Pol2</t>
  </si>
  <si>
    <t>CYKY-CYKYm 3x1,5 mm2 750 V (VU)</t>
  </si>
  <si>
    <t>m</t>
  </si>
  <si>
    <t>3</t>
  </si>
  <si>
    <t>Pol3</t>
  </si>
  <si>
    <t>CYKY-CYKYm 4x10 mm2 750 V (VU)</t>
  </si>
  <si>
    <t>4</t>
  </si>
  <si>
    <t>Pol4</t>
  </si>
  <si>
    <t>izolační zkoušky kabelu do 4x25 mm2 /kV</t>
  </si>
  <si>
    <t>5</t>
  </si>
  <si>
    <t>Pol5</t>
  </si>
  <si>
    <t>přípl. za zatahování kab. při váze kab. do 2 kg</t>
  </si>
  <si>
    <t>6</t>
  </si>
  <si>
    <t>Pol6</t>
  </si>
  <si>
    <t>přípl. za zatahování kab. při váze kab. do 0,75 kg</t>
  </si>
  <si>
    <t>7</t>
  </si>
  <si>
    <t>Pol7</t>
  </si>
  <si>
    <t>ukonč.vod.v rozv. vč.zap.a konc.do 2,5 mm2</t>
  </si>
  <si>
    <t>8</t>
  </si>
  <si>
    <t>Pol8</t>
  </si>
  <si>
    <t>ukonč.vod.v rozv. vč.zap.akonc.do 16 mm2</t>
  </si>
  <si>
    <t>9</t>
  </si>
  <si>
    <t>Pol9</t>
  </si>
  <si>
    <t>pojistka REMOS vč. zap.</t>
  </si>
  <si>
    <t>10</t>
  </si>
  <si>
    <t>Pol10</t>
  </si>
  <si>
    <t>uzem.v zemi FeZn prům. 10 mm vč.svorek,propoj.aj.</t>
  </si>
  <si>
    <t>11</t>
  </si>
  <si>
    <t>Pol11</t>
  </si>
  <si>
    <t>svorky hromosvodové do 2 šroubu (SS;SR 03)</t>
  </si>
  <si>
    <t>12</t>
  </si>
  <si>
    <t>Pol12</t>
  </si>
  <si>
    <t>svod.vodiče FeZn do prům.10mm; Al o10mm; Cu prům.8mm</t>
  </si>
  <si>
    <t>13</t>
  </si>
  <si>
    <t>Pol13</t>
  </si>
  <si>
    <t>měření zemních odporů 1 zemniče</t>
  </si>
  <si>
    <t>14</t>
  </si>
  <si>
    <t>Pol14</t>
  </si>
  <si>
    <t>svít. pro osv. kom. LED do 150W, montáž na dřík nebo výložník</t>
  </si>
  <si>
    <t>svít. pro osv. kom. LED do 150W, montáž na výložník</t>
  </si>
  <si>
    <t>15</t>
  </si>
  <si>
    <t>Pol15</t>
  </si>
  <si>
    <t>stožár ocelový do výšky 7m</t>
  </si>
  <si>
    <t>16</t>
  </si>
  <si>
    <t>Pol16</t>
  </si>
  <si>
    <t>výložník ocel.1-rám. do hmotnosti 35 kg</t>
  </si>
  <si>
    <t>17</t>
  </si>
  <si>
    <t>Pol17</t>
  </si>
  <si>
    <t>elektrovýzbroj stožáru pro 1 okruh</t>
  </si>
  <si>
    <t>elektrovýzbroj stožáru pro 1 okru</t>
  </si>
  <si>
    <t>18</t>
  </si>
  <si>
    <t>Pol18</t>
  </si>
  <si>
    <t>nátěr nového svodového vodiče</t>
  </si>
  <si>
    <t>D2</t>
  </si>
  <si>
    <t>Demontáže</t>
  </si>
  <si>
    <t>20</t>
  </si>
  <si>
    <t>Po20</t>
  </si>
  <si>
    <t>ukonč.vod.v rozv. vč.zap.a konc.do 16 mm2</t>
  </si>
  <si>
    <t>21</t>
  </si>
  <si>
    <t>Pol21</t>
  </si>
  <si>
    <t>svít.výbojkové pro osv. Kom. do 150W, montáž na výložník</t>
  </si>
  <si>
    <t>Pol22</t>
  </si>
  <si>
    <t>23</t>
  </si>
  <si>
    <t>Pol25</t>
  </si>
  <si>
    <t>stožár sadový betonový do výšky 4m</t>
  </si>
  <si>
    <t>24</t>
  </si>
  <si>
    <t>Pol26</t>
  </si>
  <si>
    <t>Pol28</t>
  </si>
  <si>
    <t>Pol23</t>
  </si>
  <si>
    <t>demontáž vrchního vedení VO do CU16mm2</t>
  </si>
  <si>
    <t>HSV</t>
  </si>
  <si>
    <t>D3</t>
  </si>
  <si>
    <t>Material</t>
  </si>
  <si>
    <t>Pol24</t>
  </si>
  <si>
    <t>Svítidlo modulové se zdroji LED pro osvětlení komunikací</t>
  </si>
  <si>
    <t>3000K, 40-42W/5200lm, asymetrická křivka svít., autonomní stmívání. Např. UNISTREET MEDIUM 40LED, DM50</t>
  </si>
  <si>
    <t>P</t>
  </si>
  <si>
    <t xml:space="preserve">Poznámka k položce: Svítidlo modulové se zdroji LED pro osvětlení komunikací  s možností autonomního stmívání, barva světla 3000 K,  39-41W/5200lm, široká asymetrická křivka svít. DM50, funkce udržování konst. svět. toku po dobu životnosti  </t>
  </si>
  <si>
    <t>Svítidlo modulové se zdroji LED pro osvětlení komunikací vybavené clonou</t>
  </si>
  <si>
    <t>3000K, 45-49W/6000lm, asymetrická křivka svít., autonomní stmívání. Např. UNISTREET MEDIUM 40LED, DM50, BL1</t>
  </si>
  <si>
    <t xml:space="preserve">Poznámka k položce: Svítidlo modulové se zdroji LED pro osvětlení komunikací  s možností autonomního stmívání, barva světla 3000 K,  45-49W/6000lm, široká asymetrická křivka svít., funkce udržování konst. svět. toku po dobu životnosti. Svítidlo je vybaveno clobou BL1 pro omezení rušivého osvětlení.  </t>
  </si>
  <si>
    <t>stožár osvětlovací odstupňovaný vetknutý, kruhového průřezu,</t>
  </si>
  <si>
    <t>žárově zinkovaný, aktiv. výška 7m, pr. 133/89/60mm, např. K7</t>
  </si>
  <si>
    <t>Pol27</t>
  </si>
  <si>
    <t>výložník jednoramenný, ocelový, žárově zinkovaný</t>
  </si>
  <si>
    <t>délka vyl. 1m, úhel 0 st., pr.60/60mm, např. SD1-1000</t>
  </si>
  <si>
    <t>Poznámka k položce:
výložník ocelový jednoramenný, žárově zinkovaný, délka vyl. 1m, úhel 0 st., pr.60/60mm</t>
  </si>
  <si>
    <t>stožárová svork., jeden okruh - včetně pojistky</t>
  </si>
  <si>
    <t>Po29</t>
  </si>
  <si>
    <t>pojistka přístrojová</t>
  </si>
  <si>
    <t>Pol30</t>
  </si>
  <si>
    <t>trubka PE JS250mm</t>
  </si>
  <si>
    <t>Pol31</t>
  </si>
  <si>
    <t>kabelová chránička KOPOFLEX 125/108mm vč. spojek</t>
  </si>
  <si>
    <t>Pol32</t>
  </si>
  <si>
    <t>kabelová chránička KOPOFLEX 75/63mm vč. spojek</t>
  </si>
  <si>
    <t>Pol33</t>
  </si>
  <si>
    <t>kabelová chránička KOPOFLEX 40/32mm vč. spojek</t>
  </si>
  <si>
    <t>Po34</t>
  </si>
  <si>
    <t>žlab betonový 1000x170x140 vč. víka</t>
  </si>
  <si>
    <t>Pol35</t>
  </si>
  <si>
    <t>vodič zemnící FeZn pr. 10Mm</t>
  </si>
  <si>
    <t>vodič zemnící kruhový FeZn pr. 10Mm</t>
  </si>
  <si>
    <t>Po36</t>
  </si>
  <si>
    <t>svorka pro připojení kovových částí SP</t>
  </si>
  <si>
    <t>Pol37</t>
  </si>
  <si>
    <t>svorka spojovací s příložkou Ssp</t>
  </si>
  <si>
    <t>Pol38</t>
  </si>
  <si>
    <t>štěrkodrť 0-63mm</t>
  </si>
  <si>
    <t>m3</t>
  </si>
  <si>
    <t>VV</t>
  </si>
  <si>
    <t>((28+3)*0,5+(7+8)*0,5*2)*0,25</t>
  </si>
  <si>
    <t>Po39</t>
  </si>
  <si>
    <t>zásypový materiál netříděný hutnitelný vč. dopravy</t>
  </si>
  <si>
    <t>(28+3)*0,5*0,85+(7+8)*0,5*0,5+14*1*1*1,31*1*1,2-30*0,8*0,8*1,3</t>
  </si>
  <si>
    <t>Pol40</t>
  </si>
  <si>
    <t>řezivo smrkové pro zhotovení bednění zákl. stožáru</t>
  </si>
  <si>
    <t>Pol41</t>
  </si>
  <si>
    <t>drát ocelový pr. 10mm pro výztuž základu</t>
  </si>
  <si>
    <t>kg</t>
  </si>
  <si>
    <t>Pol42</t>
  </si>
  <si>
    <t>kabel CYKY-J 3x1,5</t>
  </si>
  <si>
    <t>kabel</t>
  </si>
  <si>
    <t>M</t>
  </si>
  <si>
    <t>Pol43</t>
  </si>
  <si>
    <t>kabel CYKY J 4x10</t>
  </si>
  <si>
    <t>Pol44</t>
  </si>
  <si>
    <t>recyklační poplatek za svítidla</t>
  </si>
  <si>
    <t>rozváděč veřejného osvětlení v plastovém pilíři vybavený elektroměrem a hlavním jističem 20A/3f a třemi vývody</t>
  </si>
  <si>
    <t>rozváděč VO v kompaktním pilíři vertikálního provedení osazený elektroměrem a hlavním jističem 20A/3f, 3x trojfázový vývod 16A, rozměr 1475x530x240mm</t>
  </si>
  <si>
    <t>rozváděč veřejného osvětlení v plastovém pilíři vybavený elektroměrem a hlavním jističem 20A/3f a jedním trojfázovým a třemi jednofázovými vývody</t>
  </si>
  <si>
    <t>rozváděč VO v kompaktním pilíři vertikálního provedení osazený elektroměrem a hlavním jističem 20A/3f, 1x trojfázový vývod 16A, 3x16A/1f,  rozměr 1475x400x240mm</t>
  </si>
  <si>
    <t>Pol45</t>
  </si>
  <si>
    <t>Skříň pro venkovní vedení  SP182/NSP1P doplněná svodičem bleskových proudů</t>
  </si>
  <si>
    <t>Skříň plastová pro montáž na stožár nn osazená pojistkovým odpínačem OPV14 a přepěťovou ochranou FLP B+C MAXI S</t>
  </si>
  <si>
    <t>HZS</t>
  </si>
  <si>
    <t>Hodinové zúčtovací sazby</t>
  </si>
  <si>
    <t>01</t>
  </si>
  <si>
    <t>přepojení navazujících rozvodů VO pro zachování funkčnosti</t>
  </si>
  <si>
    <t>hod</t>
  </si>
  <si>
    <t>02</t>
  </si>
  <si>
    <t>Montáž, zapojení plastové  skříně SP včetně uzemnění a svodu z venkovního vedení VO</t>
  </si>
  <si>
    <t>Montáž, zapojení rozváděčů VO v plastovém pilíři</t>
  </si>
  <si>
    <t>03</t>
  </si>
  <si>
    <t>pronájem zdvihací plošiny</t>
  </si>
  <si>
    <t>04</t>
  </si>
  <si>
    <t>pronájem jeřábu</t>
  </si>
  <si>
    <t>05</t>
  </si>
  <si>
    <t>stavební výpomoc</t>
  </si>
  <si>
    <t>06</t>
  </si>
  <si>
    <t>nastavení svít., oživení soustavy vč. naprogramování parametrů</t>
  </si>
  <si>
    <t>07</t>
  </si>
  <si>
    <t>komplexní vyzkoušení</t>
  </si>
  <si>
    <t>VRN</t>
  </si>
  <si>
    <t>Vedlejší rozpočtové náklady</t>
  </si>
  <si>
    <t>VRN4</t>
  </si>
  <si>
    <t>Inženýrská činnost</t>
  </si>
  <si>
    <t>Revize výchozí elektro</t>
  </si>
  <si>
    <t>Kč</t>
  </si>
  <si>
    <t>Hlavní tituly průvodních činností a nákladů inženýrská činnost revize</t>
  </si>
  <si>
    <t>Přesun materialu</t>
  </si>
  <si>
    <t>Hlavní tituly průvodních činností a nákladů inženýrská činnost ostatní inženýrská činnost</t>
  </si>
  <si>
    <t>VRN7</t>
  </si>
  <si>
    <t>Provozní vlivy</t>
  </si>
  <si>
    <t>Provoz investora</t>
  </si>
  <si>
    <t>Provozní vlivy provoz investora, třetích osob, koordinace činnosti dvou stavebníků</t>
  </si>
  <si>
    <t>{4ffcdbea-a2d6-4f7e-8e2a-7d7b18b061d8}</t>
  </si>
  <si>
    <t>v ---  níže se nacházejí doplnkové a pomocné údaje k sestavám  --- v</t>
  </si>
  <si>
    <t>False</t>
  </si>
  <si>
    <t>SO - 01 - Zemní práce</t>
  </si>
  <si>
    <t>-1</t>
  </si>
  <si>
    <t>HSV - Práce a dodávky HSV</t>
  </si>
  <si>
    <t xml:space="preserve">    1 - Zemní práce</t>
  </si>
  <si>
    <t xml:space="preserve">    2 - Zakládání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</si>
  <si>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</si>
  <si>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</si>
  <si>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</si>
  <si>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</si>
  <si>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VRN1 - Průzkumné, geodetické a projektové práce</t>
  </si>
  <si>
    <t>Poznámka</t>
  </si>
  <si>
    <t>Práce a dodávky HSV</t>
  </si>
  <si>
    <t>0</t>
  </si>
  <si>
    <t>ROZPOCET</t>
  </si>
  <si>
    <t>Zemní práce</t>
  </si>
  <si>
    <t>111301111R00</t>
  </si>
  <si>
    <t>Sejmutí drnu tl do 100 mm s přemístěním do 50 m nebo naložením na dopravní prostředek</t>
  </si>
  <si>
    <t>m2</t>
  </si>
  <si>
    <t>-617620124</t>
  </si>
  <si>
    <t>Sejmutí drnu tl. do 100 mm, v jakékoliv ploše</t>
  </si>
  <si>
    <t>196*0,35+14*1*1</t>
  </si>
  <si>
    <t>True</t>
  </si>
  <si>
    <t>113107142R00</t>
  </si>
  <si>
    <t>Odstranění podkladu pl do 50 m2 živičných tl 100 mm</t>
  </si>
  <si>
    <t>601664639</t>
  </si>
  <si>
    <t>Odstranění podkladů nebo krytů s přemístěním hmot na skládku na vzdálenost do 3 m nebo s naložením na dopravní prostředek v ploše jednotlivě do 50 m2 živičných, o tl. vrstvy přes 50 do 100 mm</t>
  </si>
  <si>
    <t>7*0,5</t>
  </si>
  <si>
    <t>119001421R0</t>
  </si>
  <si>
    <t>Dočasné zajištění kabelů a kabelových tratí ze 3 volně ložených kabelů</t>
  </si>
  <si>
    <t>-247478686</t>
  </si>
  <si>
    <t>Dočasné zajištění podzemního potrubí nebo vedení ve výkopišti ve stavu i poloze , ve kterých byla na začátku zemních prací a to s podepřením, vzepřením nebo vyvěšením, příp. s ochranným bedněním, se zřízením a odstraněním za jišťovací konstrukce, s opotřebením hmot kabelů a kabelových tratí z volně ložených kabelů a to do 3 kabelů</t>
  </si>
  <si>
    <t>119003131</t>
  </si>
  <si>
    <t>Pomocné konstrukce při zabezpečení výkopů výstražnou páskou zřízení, včetně dodávky výstražné pásky</t>
  </si>
  <si>
    <t>-93038388</t>
  </si>
  <si>
    <t>Pomocné konstrukce při zabezpečení výkopu svislé výstražná páska zřízení</t>
  </si>
  <si>
    <t>119003132</t>
  </si>
  <si>
    <t>Pomocné konstrukce při zabezpečení výkopů výstražnou páskou odstranění</t>
  </si>
  <si>
    <t>1916315850</t>
  </si>
  <si>
    <t>Pomocné konstrukce při zabezpečení výkopu svislé výstražná páska odstranění</t>
  </si>
  <si>
    <t>131201201R00</t>
  </si>
  <si>
    <t>Hloubení jam ručním nebo pneum nářadím v soudržných horninách tř. 3</t>
  </si>
  <si>
    <t>285711141</t>
  </si>
  <si>
    <t>Hloubení zapažených i nezapažených jam ručním nebo pneumatickým nářadím s urovnáním dna do předepsaného profilu a spádu v horninách tř. 3 soudržných</t>
  </si>
  <si>
    <t>14*1*1*1,2+8*1*1*1,3+2*0,6*0,5*0,8</t>
  </si>
  <si>
    <t>132312101</t>
  </si>
  <si>
    <t>Hloubení jam ručním nebo pneum nářadím v soudržných horninách tř. 4</t>
  </si>
  <si>
    <t>8*1*1*1,3</t>
  </si>
  <si>
    <t>132212101</t>
  </si>
  <si>
    <t>Hloubení rýh š do 600 mm ručním nebo pneum. nářadím v soudržných horninách tř. 3</t>
  </si>
  <si>
    <t>-1501931286</t>
  </si>
  <si>
    <t>Hloubení zapažených i nezapažených rýh šířky do 600 mm ručním nebo pneumatickým nářadím s urovnáním dna do předepsaného profilu a spádu v horninách tř. 3 soudržných</t>
  </si>
  <si>
    <t>"kabelové ryhy"</t>
  </si>
  <si>
    <t>142*0,35*0,7+128*0,35*0,8</t>
  </si>
  <si>
    <t>132201111R00</t>
  </si>
  <si>
    <t>Hloubení rýh š.do 60 cm v hor.3 do 50 m3,STROJNĚ</t>
  </si>
  <si>
    <t>1866965247</t>
  </si>
  <si>
    <t>28*0,5*1,2</t>
  </si>
  <si>
    <t>132212109</t>
  </si>
  <si>
    <t>Příplatek za lepivost u hloubení rýh š do 600 mm ručním nebo pneum nářadím v hornině tř. 3</t>
  </si>
  <si>
    <t>921127008</t>
  </si>
  <si>
    <t>Hloubení zapažených i nezapažených rýh šířky do 600 mm ručním nebo pneumatickým nářadím s urovnáním dna do předepsaného profilu a spádu v horninách tř. 3 Příplatek k cenám za lepivost horniny tř. 3</t>
  </si>
  <si>
    <t>27,68+70,63+16,8</t>
  </si>
  <si>
    <t>139601103.R00</t>
  </si>
  <si>
    <t>Hloubení rýh š do 600 mm ručním nebo pneum. nářadím v soudržných horninách tř. 4</t>
  </si>
  <si>
    <t>54*0,35*0,7+29*0,35*0,8</t>
  </si>
  <si>
    <t>132301110R00</t>
  </si>
  <si>
    <t>Hloubení rýh š.do 60 cm v hor.4 do 50 m3,STROJNĚ</t>
  </si>
  <si>
    <t>Hloubení zapažených i nezapažených rýh šířky do 600 mm ručním nebo pneumatickým nářadím s urovnáním dna do předepsaného profilu a spádu v horninách tř. 4 soudržných</t>
  </si>
  <si>
    <t>11*0,5*1,2+7*0,5*1,1</t>
  </si>
  <si>
    <t>132312109</t>
  </si>
  <si>
    <t>Příplatek za lepivost u hloubení rýh š do 600 mm ručním nebo pneum nářadím v hornině tř. 4</t>
  </si>
  <si>
    <t>-1332442957</t>
  </si>
  <si>
    <t>Hloubení zapažených i nezapažených rýh šířky do 600 mm ručním nebo pneumatickým nářadím s urovnáním dna do předepsaného profilu a spádu v horninách tř. 4 Příplatek k cenám za lepivost horniny tř. 4</t>
  </si>
  <si>
    <t>10,4+21,35+10,45</t>
  </si>
  <si>
    <t>162701105R00</t>
  </si>
  <si>
    <t>Vodorovné přemístění do 10000 m výkopku/sypaniny z horniny tř. 1 až 4</t>
  </si>
  <si>
    <t>929039115</t>
  </si>
  <si>
    <t>Vodorovné přemístění výkopku nebo sypaniny po suchu na obvyklém dopravním prostředku, bez naložení výkopku, avšak se složením bez rozhrnutí z horniny tř. 1 až 4 na vzdálenost přes 9 000 do 10 000 m</t>
  </si>
  <si>
    <t>(142+128+54+29)*0,35*0,1 náhrada písk. Lože ve volném terénu</t>
  </si>
  <si>
    <t>14*1*1*1,2+16*1*1*1,3+2*0,*0,5*0,8</t>
  </si>
  <si>
    <t>46*0,5*1,2</t>
  </si>
  <si>
    <t>Součet</t>
  </si>
  <si>
    <t>162701109R00</t>
  </si>
  <si>
    <t>Příplatek k vodorovnému přemístění výkopku/sypaniny z horniny tř. 1 až 4 ZKD 1000 m přes 10000 m</t>
  </si>
  <si>
    <t>-1303273768</t>
  </si>
  <si>
    <t>Vodorovné přemístění výkopku nebo sypaniny po suchu na obvyklém dopravním prostředku, bez naložení výkopku, avšak se složením bez rozhrnutí z horniny tř. 1 až 4 na vzdálenost Příplatek k ceně za každých dalších i započatých 1 000 m</t>
  </si>
  <si>
    <t>167101101R00</t>
  </si>
  <si>
    <t>Nakládání výkopku z hornin tř. 1 až 4 do 100 m3</t>
  </si>
  <si>
    <t>402094922</t>
  </si>
  <si>
    <t>Nakládání, skládání a překládání neulehlého výkopku nebo sypaniny nakládání, množství do 100 m3, z hornin tř. 1 až 4</t>
  </si>
  <si>
    <t>171201201R00</t>
  </si>
  <si>
    <t>Uložení sypaniny na skládky</t>
  </si>
  <si>
    <t>1870928971</t>
  </si>
  <si>
    <t>199000002R00</t>
  </si>
  <si>
    <t>Poplatek za skládku horniny 1- 4</t>
  </si>
  <si>
    <t>-1570672571</t>
  </si>
  <si>
    <t>Uložení sypaniny poplatek za uložení sypaniny na skládce (skládkovné)</t>
  </si>
  <si>
    <t>19</t>
  </si>
  <si>
    <t>174101104</t>
  </si>
  <si>
    <t>Zásyp jam, šachet rýh nebo kolem objektů sypaninou se zhutněním ruční</t>
  </si>
  <si>
    <t>-1397949452</t>
  </si>
  <si>
    <t>Zásyp sypaninou z jakékoliv horniny s uložením výkopku ve vrstvách se zhutněním jam, šachet, rýh nebo kolem objektů v těchto vykopávkách</t>
  </si>
  <si>
    <t>142*0,6*0,35+128*0,7*0,35+54*0,35*0,6+29*0,35*0,7  rýhy</t>
  </si>
  <si>
    <t>14*1*1*1-3+16*1*1*1,2-30*0,8*0,8*1,3  jámy pro stožáry</t>
  </si>
  <si>
    <t>(28+3)*0,5*0,85+(7+8)*0,5*0,5  cesty+komunikace</t>
  </si>
  <si>
    <t>180406111R00</t>
  </si>
  <si>
    <t>Založení trávníku parkového drnováním v rovině</t>
  </si>
  <si>
    <t>2115967673</t>
  </si>
  <si>
    <t>Založení hřišťového trávníku výsevem na vrstvě substrátu</t>
  </si>
  <si>
    <t>196*0,35+14*(1*1-0,8*0,8)</t>
  </si>
  <si>
    <t>182001111R00</t>
  </si>
  <si>
    <t>Plošná úprava terénu do 500 m2 zemina tř 1 až 4 nerovnosti do +/- 100 mm v rovinně a svahu do 1:5</t>
  </si>
  <si>
    <t>-145611594</t>
  </si>
  <si>
    <t>Plošná úprava terénu v zemině tř. 1 až 4 s urovnáním povrchu bez doplnění ornice souvislé plochy do 500 m2 při nerovnostech terénu přes +/-50 do +/- 100 mm v rovině nebo na svahu do 1:5</t>
  </si>
  <si>
    <t>253+30</t>
  </si>
  <si>
    <t>22</t>
  </si>
  <si>
    <t>Křižovatka se silovým kabelem</t>
  </si>
  <si>
    <t>kus</t>
  </si>
  <si>
    <t>87254539</t>
  </si>
  <si>
    <t>Křižovatka s plynovodem</t>
  </si>
  <si>
    <t>-1812514665</t>
  </si>
  <si>
    <t>Křižovatka plynovodem</t>
  </si>
  <si>
    <t>Křižovatka s vodovodem a kanalizací</t>
  </si>
  <si>
    <t>-281133711</t>
  </si>
  <si>
    <t>25</t>
  </si>
  <si>
    <t>Křižovatka se sdělovacím vedením</t>
  </si>
  <si>
    <t>-1020656154</t>
  </si>
  <si>
    <t>Zakládání</t>
  </si>
  <si>
    <t>26</t>
  </si>
  <si>
    <t>215901101R00</t>
  </si>
  <si>
    <t>Zhutnění podloží z hornin soudržných do 92% PS nebo nesoudržných sypkých I(d) do 0,8</t>
  </si>
  <si>
    <t>-2096581564</t>
  </si>
  <si>
    <t>Zhutnění podloží pod násypy z rostlé horniny tř. 1 až 4 z hornin soudružných do 92 % PS a nesoudržných sypkých relativní ulehlosti I(d) do 0,8</t>
  </si>
  <si>
    <t>30*1*1+(28+7+7)*0,5</t>
  </si>
  <si>
    <t>27</t>
  </si>
  <si>
    <t>274313511R00</t>
  </si>
  <si>
    <t>Beton základových pasů prostý C 12/15</t>
  </si>
  <si>
    <t>952179637</t>
  </si>
  <si>
    <t>Základy z betonu prostého pasy betonu kamenem neprokládaného tř. C 12/15</t>
  </si>
  <si>
    <t>30*0,8*0,8*1,3-0,250*0,25*3,14/4*1*30</t>
  </si>
  <si>
    <t>28</t>
  </si>
  <si>
    <t>299000001</t>
  </si>
  <si>
    <t>Prostup základem - pro stožár</t>
  </si>
  <si>
    <t>-1646945149</t>
  </si>
  <si>
    <t>Vodorovné konstrukce</t>
  </si>
  <si>
    <t>451573111R00</t>
  </si>
  <si>
    <t>Lože pod potrubí otevřený výkop z písku</t>
  </si>
  <si>
    <t>-937094743</t>
  </si>
  <si>
    <t>Lože pod potrubí, stoky a drobné objekty v otevřeném výkopu z písku a štěrkopísku do 63 mm</t>
  </si>
  <si>
    <t>(142+128+54+29)*0,35*0,1 +(28+11+7)*0,5*0,1</t>
  </si>
  <si>
    <t>Komunikace pozemní</t>
  </si>
  <si>
    <t>30</t>
  </si>
  <si>
    <t>564871111R00</t>
  </si>
  <si>
    <t>Podklad ze štěrkodrtě ŠD tl 250 mm</t>
  </si>
  <si>
    <t>-1887844603</t>
  </si>
  <si>
    <t>Podklad ze štěrkodrti ŠD s rozprostřením a zhutněním, po zhutnění tl. 250 mm</t>
  </si>
  <si>
    <t>(28+3)*0,5+(7+8)*0,5*2</t>
  </si>
  <si>
    <t>31</t>
  </si>
  <si>
    <t>566901261</t>
  </si>
  <si>
    <t>Vyspravení podkladu po překopech ing sítí plochy přes 15 m2 obalovaným kamenivem ACP (OK) tl. 100 mm</t>
  </si>
  <si>
    <t>194980527</t>
  </si>
  <si>
    <t>Vyspravení podkladu po překopech inženýrských sítí plochy přes 15 m2 s rozprostřením a zhutněním obalovaným kamenivem ACP (OK) tl. 100 mm</t>
  </si>
  <si>
    <t>(8+7)*0,5</t>
  </si>
  <si>
    <t>32</t>
  </si>
  <si>
    <t>599142111R00</t>
  </si>
  <si>
    <t>Úprava zálivky dilatačních nebo pracovních spár v cementobetonovém krytu hl do 40 mm š do 40 mm</t>
  </si>
  <si>
    <t>-2070021177</t>
  </si>
  <si>
    <t>Úprava zálivky dilatačních nebo pracovních spár v cementobetonovém krytu, hloubky do 40 mm, šířky přes 20 do 40 mm</t>
  </si>
  <si>
    <t>Trubní vedení</t>
  </si>
  <si>
    <t>33</t>
  </si>
  <si>
    <t>899722112</t>
  </si>
  <si>
    <t>Krytí potrubí z plastů výstražnou fólií z PVC 25 cm</t>
  </si>
  <si>
    <t>-578996950</t>
  </si>
  <si>
    <t>Krytí potrubí z plastů výstražnou fólií z PVC šířky 25 cm</t>
  </si>
  <si>
    <t>34</t>
  </si>
  <si>
    <t>899722113</t>
  </si>
  <si>
    <t>Krytí potrubí z plastů výstražnou fólií z PVC 34cm</t>
  </si>
  <si>
    <t>926558262</t>
  </si>
  <si>
    <t>Krytí potrubí z plastů výstražnou fólií z PVC šířky 34cm</t>
  </si>
  <si>
    <t>Ostatní konstrukce a práce, bourání</t>
  </si>
  <si>
    <t>35</t>
  </si>
  <si>
    <t>900000001</t>
  </si>
  <si>
    <t>kabelový kanál z bet. žlabů KZ1 s víkem KD1(10/10/50cm)</t>
  </si>
  <si>
    <t>1062788855</t>
  </si>
  <si>
    <t>36</t>
  </si>
  <si>
    <t>900000002</t>
  </si>
  <si>
    <t>Kabelový prostup z PVC roury světl. do 12,5cm</t>
  </si>
  <si>
    <t>-282464953</t>
  </si>
  <si>
    <t>37</t>
  </si>
  <si>
    <t>919735113R00</t>
  </si>
  <si>
    <t>Řezání stávajícího živičného krytu hl do 150 mm</t>
  </si>
  <si>
    <t>1157377367</t>
  </si>
  <si>
    <t>Řezání stávajícího živičného krytu nebo podkladu hloubky přes 100 do 150 mm</t>
  </si>
  <si>
    <t>38</t>
  </si>
  <si>
    <t>961044111R00</t>
  </si>
  <si>
    <t>Bourání základů z betonu prostého</t>
  </si>
  <si>
    <t>-2033994358</t>
  </si>
  <si>
    <t>Bourání základů z betonu prostého</t>
  </si>
  <si>
    <t>3*0,5*0,5*0,4+2*0,7*0,7*0,4</t>
  </si>
  <si>
    <t>řízený protlak pr. Do pr. 100mm vč. startovacích jam</t>
  </si>
  <si>
    <t>řízený protlak pro uložení sítí, průměr otvoru do 100mm vč. Startovacích jam a jejich záhozu</t>
  </si>
  <si>
    <t>Protlak vrtaný pr. Do 100mm v zemině tř. 4</t>
  </si>
  <si>
    <t>VRN1</t>
  </si>
  <si>
    <t>Průzkumné, geodetické a projektové práce</t>
  </si>
  <si>
    <t>41</t>
  </si>
  <si>
    <t>012103000</t>
  </si>
  <si>
    <t>Geodetické práce před výstavbou - vytýčení tras podzemních vedení</t>
  </si>
  <si>
    <t>1024</t>
  </si>
  <si>
    <t>578924084</t>
  </si>
  <si>
    <t>Průzkumné, geodetické a projektové práce geodetické práce před výstavbou</t>
  </si>
  <si>
    <t>42</t>
  </si>
  <si>
    <t>012103002</t>
  </si>
  <si>
    <t>Přípravné geodetické práce před výstavbou - vytýčení trasy  do100m</t>
  </si>
  <si>
    <t>143904422</t>
  </si>
  <si>
    <t>43</t>
  </si>
  <si>
    <t>012103003</t>
  </si>
  <si>
    <t>Přípravné geodetické práce před výstavbou - vytýčení trasy  nad 100m</t>
  </si>
  <si>
    <t>-1058447074</t>
  </si>
  <si>
    <t>44</t>
  </si>
  <si>
    <t>012203000</t>
  </si>
  <si>
    <t>Geodetické práce při provádění stavby - zaměření kabelu a zař. do 100m</t>
  </si>
  <si>
    <t>1324536511</t>
  </si>
  <si>
    <t>Průzkumné, geodetické a projektové práce geodetické práce při provádění stavby</t>
  </si>
  <si>
    <t>45</t>
  </si>
  <si>
    <t>01220302</t>
  </si>
  <si>
    <t>Geodetické práce při provádění stavby - zaměření kabelu a zař. nad 100m</t>
  </si>
  <si>
    <t>-510064663</t>
  </si>
  <si>
    <t>Pozn.:</t>
  </si>
  <si>
    <t>V rozpočtu zemních prací je počítáno, že kabelové vedení VO bude v rozhodující části trasy řešeno jako přílož k nově budovaným rozvodům nn a to včetně většiny přechodů přes komunikaci.</t>
  </si>
  <si>
    <t>Přechod přes p.p.č. 312/2  v délce cca 23m je řešen výkopem a to včetně rozpočtových položek.</t>
  </si>
  <si>
    <t xml:space="preserve"> Pokud by se zhotovitel rozvodů pro ČEZ Distribuce rozhodl řešit tuto část trasy řízeným protlakem, bude nutno provést dopočet a úpravu rozpočtu VO.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</si>
</sst>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#,##0.00%"/>
    <numFmt numFmtId="166" formatCode="d&quot;.&quot;m&quot;.&quot;yyyy"/>
    <numFmt numFmtId="167" formatCode="#,##0.00000"/>
    <numFmt numFmtId="168" formatCode="#,##0.00&quot; &quot;[$Kč-405];[Red]&quot;-&quot;#,##0.00&quot; &quot;[$Kč-405]"/>
  </numFmts>
  <fonts count="126">
    <font>
      <sz val="11"/>
      <color theme="1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E"/>
      <family val="2"/>
    </font>
    <font>
      <u val="single"/>
      <sz val="11"/>
      <color indexed="12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Trebuchet MS"/>
      <family val="2"/>
    </font>
    <font>
      <b/>
      <sz val="16"/>
      <color indexed="8"/>
      <name val="Trebuchet MS"/>
      <family val="2"/>
    </font>
    <font>
      <sz val="9"/>
      <color indexed="55"/>
      <name val="Trebuchet MS"/>
      <family val="2"/>
    </font>
    <font>
      <sz val="9"/>
      <color indexed="8"/>
      <name val="Trebuchet MS"/>
      <family val="2"/>
    </font>
    <font>
      <b/>
      <sz val="12"/>
      <color indexed="8"/>
      <name val="Trebuchet MS"/>
      <family val="2"/>
    </font>
    <font>
      <b/>
      <sz val="10"/>
      <color indexed="8"/>
      <name val="Trebuchet MS"/>
      <family val="2"/>
    </font>
    <font>
      <sz val="8"/>
      <color indexed="55"/>
      <name val="Trebuchet MS"/>
      <family val="2"/>
    </font>
    <font>
      <b/>
      <sz val="8"/>
      <color indexed="55"/>
      <name val="Trebuchet MS"/>
      <family val="2"/>
    </font>
    <font>
      <b/>
      <sz val="11"/>
      <color indexed="8"/>
      <name val="Trebuchet MS"/>
      <family val="2"/>
    </font>
    <font>
      <b/>
      <sz val="9"/>
      <color indexed="8"/>
      <name val="Trebuchet MS"/>
      <family val="2"/>
    </font>
    <font>
      <b/>
      <sz val="12"/>
      <color indexed="16"/>
      <name val="Trebuchet MS"/>
      <family val="2"/>
    </font>
    <font>
      <sz val="18"/>
      <color indexed="12"/>
      <name val="Wingdings 2"/>
      <family val="1"/>
    </font>
    <font>
      <sz val="11"/>
      <color indexed="8"/>
      <name val="Trebuchet MS"/>
      <family val="2"/>
    </font>
    <font>
      <b/>
      <sz val="11"/>
      <color indexed="62"/>
      <name val="Trebuchet MS"/>
      <family val="2"/>
    </font>
    <font>
      <sz val="11"/>
      <color indexed="62"/>
      <name val="Trebuchet MS"/>
      <family val="2"/>
    </font>
    <font>
      <sz val="10"/>
      <color indexed="8"/>
      <name val="Trebuchet MS"/>
      <family val="2"/>
    </font>
    <font>
      <sz val="10"/>
      <color indexed="16"/>
      <name val="Trebuchet MS"/>
      <family val="2"/>
    </font>
    <font>
      <u val="single"/>
      <sz val="10"/>
      <color indexed="12"/>
      <name val="Trebuchet MS"/>
      <family val="2"/>
    </font>
    <font>
      <sz val="12"/>
      <color indexed="62"/>
      <name val="Trebuchet MS"/>
      <family val="2"/>
    </font>
    <font>
      <sz val="10"/>
      <color indexed="62"/>
      <name val="Trebuchet MS"/>
      <family val="2"/>
    </font>
    <font>
      <sz val="8"/>
      <color indexed="62"/>
      <name val="Trebuchet MS"/>
      <family val="2"/>
    </font>
    <font>
      <sz val="7"/>
      <color indexed="55"/>
      <name val="Trebuchet MS"/>
      <family val="2"/>
    </font>
    <font>
      <sz val="7"/>
      <color indexed="8"/>
      <name val="Trebuchet MS"/>
      <family val="2"/>
    </font>
    <font>
      <sz val="7"/>
      <color indexed="55"/>
      <name val="Trebuc1"/>
      <family val="0"/>
    </font>
    <font>
      <sz val="7"/>
      <color indexed="8"/>
      <name val="Trebuc1"/>
      <family val="0"/>
    </font>
    <font>
      <i/>
      <sz val="7"/>
      <color indexed="55"/>
      <name val="Trebuc1"/>
      <family val="0"/>
    </font>
    <font>
      <sz val="8"/>
      <color indexed="14"/>
      <name val="Trebuchet MS"/>
      <family val="2"/>
    </font>
    <font>
      <i/>
      <sz val="7"/>
      <color indexed="55"/>
      <name val="Trebuchet MS"/>
      <family val="2"/>
    </font>
    <font>
      <i/>
      <sz val="8"/>
      <color indexed="8"/>
      <name val="Trebuchet MS"/>
      <family val="2"/>
    </font>
    <font>
      <sz val="8"/>
      <color indexed="12"/>
      <name val="Trebuchet MS"/>
      <family val="2"/>
    </font>
    <font>
      <sz val="10"/>
      <color indexed="12"/>
      <name val="Trebuchet MS"/>
      <family val="2"/>
    </font>
    <font>
      <sz val="10"/>
      <color indexed="12"/>
      <name val="Arial"/>
      <family val="2"/>
    </font>
    <font>
      <sz val="8"/>
      <color indexed="48"/>
      <name val="Trebuchet MS"/>
      <family val="2"/>
    </font>
    <font>
      <sz val="8"/>
      <color indexed="16"/>
      <name val="Trebuchet MS"/>
      <family val="2"/>
    </font>
    <font>
      <b/>
      <sz val="8"/>
      <color indexed="8"/>
      <name val="Trebuchet MS"/>
      <family val="2"/>
    </font>
    <font>
      <sz val="8"/>
      <color indexed="63"/>
      <name val="Trebuchet MS"/>
      <family val="2"/>
    </font>
    <font>
      <sz val="8"/>
      <color indexed="8"/>
      <name val="Arial CE"/>
      <family val="2"/>
    </font>
    <font>
      <sz val="8"/>
      <color indexed="20"/>
      <name val="Trebuchet MS"/>
      <family val="2"/>
    </font>
    <font>
      <sz val="8"/>
      <color indexed="10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CE"/>
      <family val="2"/>
    </font>
    <font>
      <u val="single"/>
      <sz val="11"/>
      <color rgb="FF0000FF"/>
      <name val="Calibri"/>
      <family val="2"/>
    </font>
    <font>
      <b/>
      <i/>
      <sz val="16"/>
      <color theme="1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i/>
      <u val="single"/>
      <sz val="11"/>
      <color theme="1"/>
      <name val="Arial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theme="1"/>
      <name val="Trebuchet MS"/>
      <family val="2"/>
    </font>
    <font>
      <b/>
      <sz val="16"/>
      <color theme="1"/>
      <name val="Trebuchet MS"/>
      <family val="2"/>
    </font>
    <font>
      <sz val="9"/>
      <color rgb="FF969696"/>
      <name val="Trebuchet MS"/>
      <family val="2"/>
    </font>
    <font>
      <sz val="9"/>
      <color theme="1"/>
      <name val="Trebuchet MS"/>
      <family val="2"/>
    </font>
    <font>
      <b/>
      <sz val="12"/>
      <color theme="1"/>
      <name val="Trebuchet MS"/>
      <family val="2"/>
    </font>
    <font>
      <b/>
      <sz val="10"/>
      <color theme="1"/>
      <name val="Trebuchet MS"/>
      <family val="2"/>
    </font>
    <font>
      <sz val="8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1"/>
      <color theme="1"/>
      <name val="Trebuchet MS"/>
      <family val="2"/>
    </font>
    <font>
      <b/>
      <sz val="9"/>
      <color theme="1"/>
      <name val="Trebuchet MS"/>
      <family val="2"/>
    </font>
    <font>
      <b/>
      <sz val="12"/>
      <color rgb="FF800000"/>
      <name val="Trebuchet MS"/>
      <family val="2"/>
    </font>
    <font>
      <sz val="18"/>
      <color rgb="FF0000FF"/>
      <name val="Wingdings 2"/>
      <family val="1"/>
    </font>
    <font>
      <sz val="11"/>
      <color theme="1"/>
      <name val="Trebuchet MS"/>
      <family val="2"/>
    </font>
    <font>
      <b/>
      <sz val="11"/>
      <color rgb="FF1D2FBE"/>
      <name val="Trebuchet MS"/>
      <family val="2"/>
    </font>
    <font>
      <sz val="11"/>
      <color rgb="FF1D2FBE"/>
      <name val="Trebuchet MS"/>
      <family val="2"/>
    </font>
    <font>
      <sz val="10"/>
      <color theme="1"/>
      <name val="Trebuchet MS"/>
      <family val="2"/>
    </font>
    <font>
      <sz val="10"/>
      <color rgb="FF800000"/>
      <name val="Trebuchet MS"/>
      <family val="2"/>
    </font>
    <font>
      <u val="single"/>
      <sz val="10"/>
      <color rgb="FF0000FF"/>
      <name val="Trebuchet MS"/>
      <family val="2"/>
    </font>
    <font>
      <sz val="12"/>
      <color rgb="FF1D2FBE"/>
      <name val="Trebuchet MS"/>
      <family val="2"/>
    </font>
    <font>
      <sz val="10"/>
      <color rgb="FF1D2FBE"/>
      <name val="Trebuchet MS"/>
      <family val="2"/>
    </font>
    <font>
      <sz val="9"/>
      <color rgb="FF000000"/>
      <name val="Trebuchet MS"/>
      <family val="2"/>
    </font>
    <font>
      <sz val="8"/>
      <color rgb="FF1D2FBE"/>
      <name val="Trebuchet MS"/>
      <family val="2"/>
    </font>
    <font>
      <sz val="7"/>
      <color rgb="FF969696"/>
      <name val="Trebuchet MS"/>
      <family val="2"/>
    </font>
    <font>
      <sz val="7"/>
      <color theme="1"/>
      <name val="Trebuchet MS"/>
      <family val="2"/>
    </font>
    <font>
      <sz val="7"/>
      <color rgb="FF969696"/>
      <name val="Trebuc1"/>
      <family val="0"/>
    </font>
    <font>
      <sz val="7"/>
      <color theme="1"/>
      <name val="Trebuc1"/>
      <family val="0"/>
    </font>
    <font>
      <sz val="10"/>
      <color theme="1"/>
      <name val="Arial"/>
      <family val="2"/>
    </font>
    <font>
      <i/>
      <sz val="7"/>
      <color rgb="FF969696"/>
      <name val="Trebuc1"/>
      <family val="0"/>
    </font>
    <font>
      <sz val="8"/>
      <color rgb="FFFF00FF"/>
      <name val="Trebuchet MS"/>
      <family val="2"/>
    </font>
    <font>
      <i/>
      <sz val="7"/>
      <color rgb="FF969696"/>
      <name val="Trebuchet MS"/>
      <family val="2"/>
    </font>
    <font>
      <i/>
      <sz val="8"/>
      <color theme="1"/>
      <name val="Trebuchet MS"/>
      <family val="2"/>
    </font>
    <font>
      <sz val="8"/>
      <color rgb="FF2300DC"/>
      <name val="Trebuchet MS"/>
      <family val="2"/>
    </font>
    <font>
      <sz val="10"/>
      <color rgb="FF2300DC"/>
      <name val="Trebuchet MS"/>
      <family val="2"/>
    </font>
    <font>
      <sz val="10"/>
      <color rgb="FF2300DC"/>
      <name val="Arial"/>
      <family val="2"/>
    </font>
    <font>
      <sz val="8"/>
      <color rgb="FF2A6FF9"/>
      <name val="Trebuchet MS"/>
      <family val="2"/>
    </font>
    <font>
      <sz val="8"/>
      <color rgb="FF800000"/>
      <name val="Trebuchet MS"/>
      <family val="2"/>
    </font>
    <font>
      <b/>
      <sz val="8"/>
      <color theme="1"/>
      <name val="Trebuchet MS"/>
      <family val="2"/>
    </font>
    <font>
      <sz val="8"/>
      <color rgb="FF424242"/>
      <name val="Trebuchet MS"/>
      <family val="2"/>
    </font>
    <font>
      <sz val="8"/>
      <color theme="1"/>
      <name val="Arial CE"/>
      <family val="2"/>
    </font>
    <font>
      <sz val="8"/>
      <color rgb="FF800080"/>
      <name val="Trebuchet MS"/>
      <family val="2"/>
    </font>
    <font>
      <sz val="8"/>
      <color rgb="FF000000"/>
      <name val="Trebuchet MS"/>
      <family val="2"/>
    </font>
    <font>
      <sz val="7"/>
      <color rgb="FF000000"/>
      <name val="Trebuchet MS"/>
      <family val="2"/>
    </font>
    <font>
      <sz val="8"/>
      <color rgb="FFFF0000"/>
      <name val="Trebuchet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80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969696"/>
      </top>
      <bottom/>
    </border>
    <border>
      <left/>
      <right style="thin">
        <color rgb="FF000000"/>
      </right>
      <top style="thin">
        <color rgb="FF969696"/>
      </top>
      <bottom/>
    </border>
    <border>
      <left/>
      <right/>
      <top/>
      <bottom style="thin">
        <color rgb="FF969696"/>
      </bottom>
    </border>
    <border>
      <left style="thin">
        <color rgb="FF969696"/>
      </left>
      <right/>
      <top style="thin">
        <color rgb="FF969696"/>
      </top>
      <bottom style="thin">
        <color rgb="FF969696"/>
      </bottom>
    </border>
    <border>
      <left/>
      <right/>
      <top style="thin">
        <color rgb="FF969696"/>
      </top>
      <bottom style="thin">
        <color rgb="FF969696"/>
      </bottom>
    </border>
    <border>
      <left/>
      <right style="thin">
        <color rgb="FF969696"/>
      </right>
      <top style="thin">
        <color rgb="FF969696"/>
      </top>
      <bottom style="thin">
        <color rgb="FF969696"/>
      </bottom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</border>
    <border>
      <left/>
      <right style="thin">
        <color rgb="FF808080"/>
      </right>
      <top style="thin">
        <color rgb="FF969696"/>
      </top>
      <bottom style="thin">
        <color rgb="FF969696"/>
      </bottom>
    </border>
    <border>
      <left style="thin">
        <color rgb="FF969696"/>
      </left>
      <right/>
      <top style="thin">
        <color rgb="FF969696"/>
      </top>
      <bottom/>
    </border>
    <border>
      <left/>
      <right style="thin">
        <color rgb="FF969696"/>
      </right>
      <top style="thin">
        <color rgb="FF969696"/>
      </top>
      <bottom/>
    </border>
    <border>
      <left style="thin">
        <color rgb="FF969696"/>
      </left>
      <right/>
      <top/>
      <bottom/>
    </border>
    <border>
      <left/>
      <right style="thin">
        <color rgb="FF969696"/>
      </right>
      <top/>
      <bottom/>
    </border>
    <border>
      <left style="thin">
        <color rgb="FF969696"/>
      </left>
      <right style="thin">
        <color rgb="FF808080"/>
      </right>
      <top style="thin">
        <color rgb="FF969696"/>
      </top>
      <bottom style="thin">
        <color rgb="FF969696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969696"/>
      </left>
      <right/>
      <top/>
      <bottom style="thin">
        <color rgb="FF969696"/>
      </bottom>
    </border>
    <border>
      <left/>
      <right style="thin">
        <color rgb="FF969696"/>
      </right>
      <top/>
      <bottom style="thin">
        <color rgb="FF969696"/>
      </bottom>
    </border>
    <border>
      <left/>
      <right style="thin">
        <color rgb="FF808080"/>
      </right>
      <top/>
      <bottom/>
    </border>
    <border>
      <left style="thin">
        <color rgb="FF808080"/>
      </left>
      <right/>
      <top/>
      <bottom/>
    </border>
  </borders>
  <cellStyleXfs count="67"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4" fillId="0" borderId="1" applyNumberFormat="0" applyFill="0" applyAlignment="0" applyProtection="0"/>
    <xf numFmtId="43" fontId="62" fillId="0" borderId="0" applyFont="0" applyFill="0" applyBorder="0" applyAlignment="0" applyProtection="0"/>
    <xf numFmtId="41" fontId="62" fillId="0" borderId="0" applyFont="0" applyFill="0" applyBorder="0" applyAlignment="0" applyProtection="0"/>
    <xf numFmtId="0" fontId="65" fillId="0" borderId="0">
      <alignment/>
      <protection/>
    </xf>
    <xf numFmtId="0" fontId="66" fillId="0" borderId="0">
      <alignment/>
      <protection/>
    </xf>
    <xf numFmtId="0" fontId="67" fillId="0" borderId="0">
      <alignment horizontal="center"/>
      <protection/>
    </xf>
    <xf numFmtId="0" fontId="67" fillId="0" borderId="0">
      <alignment horizontal="center" textRotation="90"/>
      <protection/>
    </xf>
    <xf numFmtId="0" fontId="68" fillId="20" borderId="0" applyNumberFormat="0" applyBorder="0" applyAlignment="0" applyProtection="0"/>
    <xf numFmtId="0" fontId="69" fillId="21" borderId="2" applyNumberFormat="0" applyAlignment="0" applyProtection="0"/>
    <xf numFmtId="44" fontId="62" fillId="0" borderId="0" applyFont="0" applyFill="0" applyBorder="0" applyAlignment="0" applyProtection="0"/>
    <xf numFmtId="42" fontId="62" fillId="0" borderId="0" applyFont="0" applyFill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22" borderId="0" applyNumberFormat="0" applyBorder="0" applyAlignment="0" applyProtection="0"/>
    <xf numFmtId="0" fontId="62" fillId="23" borderId="6" applyNumberFormat="0" applyFont="0" applyAlignment="0" applyProtection="0"/>
    <xf numFmtId="9" fontId="62" fillId="0" borderId="0" applyFont="0" applyFill="0" applyBorder="0" applyAlignment="0" applyProtection="0"/>
    <xf numFmtId="0" fontId="75" fillId="0" borderId="7" applyNumberFormat="0" applyFill="0" applyAlignment="0" applyProtection="0"/>
    <xf numFmtId="0" fontId="76" fillId="0" borderId="0">
      <alignment/>
      <protection/>
    </xf>
    <xf numFmtId="168" fontId="76" fillId="0" borderId="0">
      <alignment/>
      <protection/>
    </xf>
    <xf numFmtId="0" fontId="77" fillId="24" borderId="0" applyNumberFormat="0" applyBorder="0" applyAlignment="0" applyProtection="0"/>
    <xf numFmtId="0" fontId="78" fillId="0" borderId="0" applyNumberFormat="0" applyFill="0" applyBorder="0" applyAlignment="0" applyProtection="0"/>
    <xf numFmtId="0" fontId="79" fillId="25" borderId="8" applyNumberFormat="0" applyAlignment="0" applyProtection="0"/>
    <xf numFmtId="0" fontId="80" fillId="26" borderId="8" applyNumberFormat="0" applyAlignment="0" applyProtection="0"/>
    <xf numFmtId="0" fontId="81" fillId="26" borderId="9" applyNumberFormat="0" applyAlignment="0" applyProtection="0"/>
    <xf numFmtId="0" fontId="82" fillId="0" borderId="0" applyNumberFormat="0" applyFill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</cellStyleXfs>
  <cellXfs count="250">
    <xf numFmtId="0" fontId="0" fillId="0" borderId="0" xfId="0" applyAlignment="1">
      <alignment/>
    </xf>
    <xf numFmtId="0" fontId="83" fillId="0" borderId="0" xfId="0" applyFont="1" applyAlignment="1">
      <alignment/>
    </xf>
    <xf numFmtId="0" fontId="83" fillId="0" borderId="0" xfId="0" applyFont="1" applyBorder="1" applyAlignment="1">
      <alignment/>
    </xf>
    <xf numFmtId="0" fontId="83" fillId="0" borderId="10" xfId="0" applyFont="1" applyBorder="1" applyAlignment="1">
      <alignment/>
    </xf>
    <xf numFmtId="0" fontId="83" fillId="0" borderId="11" xfId="0" applyFont="1" applyBorder="1" applyAlignment="1">
      <alignment/>
    </xf>
    <xf numFmtId="0" fontId="83" fillId="0" borderId="12" xfId="0" applyFont="1" applyBorder="1" applyAlignment="1">
      <alignment/>
    </xf>
    <xf numFmtId="0" fontId="83" fillId="0" borderId="13" xfId="0" applyFont="1" applyBorder="1" applyAlignment="1">
      <alignment/>
    </xf>
    <xf numFmtId="0" fontId="84" fillId="0" borderId="0" xfId="0" applyFont="1" applyBorder="1" applyAlignment="1">
      <alignment horizontal="left" vertical="center"/>
    </xf>
    <xf numFmtId="0" fontId="83" fillId="0" borderId="14" xfId="0" applyFont="1" applyBorder="1" applyAlignment="1">
      <alignment/>
    </xf>
    <xf numFmtId="0" fontId="85" fillId="0" borderId="0" xfId="0" applyFont="1" applyBorder="1" applyAlignment="1">
      <alignment horizontal="left" vertical="top"/>
    </xf>
    <xf numFmtId="0" fontId="86" fillId="0" borderId="0" xfId="0" applyFont="1" applyBorder="1" applyAlignment="1">
      <alignment horizontal="left" vertical="center"/>
    </xf>
    <xf numFmtId="0" fontId="87" fillId="0" borderId="0" xfId="0" applyFont="1" applyBorder="1" applyAlignment="1">
      <alignment horizontal="left" vertical="top"/>
    </xf>
    <xf numFmtId="0" fontId="85" fillId="0" borderId="0" xfId="0" applyFont="1" applyBorder="1" applyAlignment="1">
      <alignment horizontal="left" vertical="center"/>
    </xf>
    <xf numFmtId="166" fontId="86" fillId="0" borderId="0" xfId="0" applyNumberFormat="1" applyFont="1" applyBorder="1" applyAlignment="1">
      <alignment horizontal="left" vertical="center"/>
    </xf>
    <xf numFmtId="0" fontId="83" fillId="0" borderId="0" xfId="0" applyFont="1" applyAlignment="1">
      <alignment vertical="center"/>
    </xf>
    <xf numFmtId="0" fontId="83" fillId="0" borderId="13" xfId="0" applyFont="1" applyBorder="1" applyAlignment="1">
      <alignment vertical="center"/>
    </xf>
    <xf numFmtId="0" fontId="83" fillId="0" borderId="0" xfId="0" applyFont="1" applyBorder="1" applyAlignment="1">
      <alignment vertical="center"/>
    </xf>
    <xf numFmtId="0" fontId="88" fillId="0" borderId="15" xfId="0" applyFont="1" applyBorder="1" applyAlignment="1">
      <alignment horizontal="left" vertical="center"/>
    </xf>
    <xf numFmtId="0" fontId="83" fillId="0" borderId="15" xfId="0" applyFont="1" applyBorder="1" applyAlignment="1">
      <alignment vertical="center"/>
    </xf>
    <xf numFmtId="4" fontId="88" fillId="0" borderId="15" xfId="0" applyNumberFormat="1" applyFont="1" applyBorder="1" applyAlignment="1">
      <alignment vertical="center"/>
    </xf>
    <xf numFmtId="0" fontId="83" fillId="0" borderId="14" xfId="0" applyFont="1" applyBorder="1" applyAlignment="1">
      <alignment vertical="center"/>
    </xf>
    <xf numFmtId="0" fontId="89" fillId="0" borderId="0" xfId="0" applyFont="1" applyBorder="1" applyAlignment="1">
      <alignment horizontal="right" vertical="center"/>
    </xf>
    <xf numFmtId="0" fontId="89" fillId="0" borderId="0" xfId="0" applyFont="1" applyAlignment="1">
      <alignment vertical="center"/>
    </xf>
    <xf numFmtId="0" fontId="89" fillId="0" borderId="13" xfId="0" applyFont="1" applyBorder="1" applyAlignment="1">
      <alignment vertical="center"/>
    </xf>
    <xf numFmtId="0" fontId="89" fillId="0" borderId="0" xfId="0" applyFont="1" applyBorder="1" applyAlignment="1">
      <alignment vertical="center"/>
    </xf>
    <xf numFmtId="0" fontId="89" fillId="0" borderId="0" xfId="0" applyFont="1" applyBorder="1" applyAlignment="1">
      <alignment horizontal="left" vertical="center"/>
    </xf>
    <xf numFmtId="4" fontId="90" fillId="0" borderId="0" xfId="0" applyNumberFormat="1" applyFont="1" applyBorder="1" applyAlignment="1">
      <alignment vertical="center"/>
    </xf>
    <xf numFmtId="0" fontId="89" fillId="0" borderId="14" xfId="0" applyFont="1" applyBorder="1" applyAlignment="1">
      <alignment vertical="center"/>
    </xf>
    <xf numFmtId="0" fontId="83" fillId="33" borderId="0" xfId="0" applyFont="1" applyFill="1" applyBorder="1" applyAlignment="1">
      <alignment vertical="center"/>
    </xf>
    <xf numFmtId="0" fontId="87" fillId="33" borderId="16" xfId="0" applyFont="1" applyFill="1" applyBorder="1" applyAlignment="1">
      <alignment horizontal="left" vertical="center"/>
    </xf>
    <xf numFmtId="0" fontId="83" fillId="33" borderId="17" xfId="0" applyFont="1" applyFill="1" applyBorder="1" applyAlignment="1">
      <alignment vertical="center"/>
    </xf>
    <xf numFmtId="0" fontId="87" fillId="33" borderId="17" xfId="0" applyFont="1" applyFill="1" applyBorder="1" applyAlignment="1">
      <alignment horizontal="center" vertical="center"/>
    </xf>
    <xf numFmtId="0" fontId="87" fillId="33" borderId="17" xfId="0" applyFont="1" applyFill="1" applyBorder="1" applyAlignment="1">
      <alignment horizontal="left" vertical="center"/>
    </xf>
    <xf numFmtId="4" fontId="91" fillId="33" borderId="18" xfId="0" applyNumberFormat="1" applyFont="1" applyFill="1" applyBorder="1" applyAlignment="1">
      <alignment vertical="center"/>
    </xf>
    <xf numFmtId="4" fontId="87" fillId="33" borderId="18" xfId="0" applyNumberFormat="1" applyFont="1" applyFill="1" applyBorder="1" applyAlignment="1">
      <alignment vertical="center"/>
    </xf>
    <xf numFmtId="0" fontId="83" fillId="33" borderId="14" xfId="0" applyFont="1" applyFill="1" applyBorder="1" applyAlignment="1">
      <alignment vertical="center"/>
    </xf>
    <xf numFmtId="0" fontId="83" fillId="0" borderId="19" xfId="0" applyFont="1" applyBorder="1" applyAlignment="1">
      <alignment vertical="center"/>
    </xf>
    <xf numFmtId="0" fontId="83" fillId="0" borderId="20" xfId="0" applyFont="1" applyBorder="1" applyAlignment="1">
      <alignment vertical="center"/>
    </xf>
    <xf numFmtId="0" fontId="83" fillId="0" borderId="10" xfId="0" applyFont="1" applyBorder="1" applyAlignment="1">
      <alignment vertical="center"/>
    </xf>
    <xf numFmtId="0" fontId="83" fillId="0" borderId="11" xfId="0" applyFont="1" applyBorder="1" applyAlignment="1">
      <alignment vertical="center"/>
    </xf>
    <xf numFmtId="0" fontId="84" fillId="0" borderId="0" xfId="0" applyFont="1" applyAlignment="1">
      <alignment horizontal="left" vertical="center"/>
    </xf>
    <xf numFmtId="0" fontId="86" fillId="0" borderId="0" xfId="0" applyFont="1" applyAlignment="1">
      <alignment vertical="center"/>
    </xf>
    <xf numFmtId="0" fontId="86" fillId="0" borderId="13" xfId="0" applyFont="1" applyBorder="1" applyAlignment="1">
      <alignment vertical="center"/>
    </xf>
    <xf numFmtId="0" fontId="85" fillId="0" borderId="0" xfId="0" applyFont="1" applyAlignment="1">
      <alignment horizontal="left" vertical="center"/>
    </xf>
    <xf numFmtId="0" fontId="87" fillId="0" borderId="0" xfId="0" applyFont="1" applyAlignment="1">
      <alignment vertical="center"/>
    </xf>
    <xf numFmtId="0" fontId="87" fillId="0" borderId="13" xfId="0" applyFont="1" applyBorder="1" applyAlignment="1">
      <alignment vertical="center"/>
    </xf>
    <xf numFmtId="0" fontId="87" fillId="0" borderId="0" xfId="0" applyFont="1" applyAlignment="1">
      <alignment horizontal="left" vertical="center"/>
    </xf>
    <xf numFmtId="0" fontId="87" fillId="0" borderId="0" xfId="0" applyFont="1" applyBorder="1" applyAlignment="1">
      <alignment horizontal="left" vertical="center"/>
    </xf>
    <xf numFmtId="0" fontId="92" fillId="0" borderId="0" xfId="0" applyFont="1" applyAlignment="1">
      <alignment vertical="center"/>
    </xf>
    <xf numFmtId="0" fontId="86" fillId="0" borderId="0" xfId="0" applyFont="1" applyBorder="1" applyAlignment="1">
      <alignment vertical="center"/>
    </xf>
    <xf numFmtId="0" fontId="86" fillId="33" borderId="17" xfId="0" applyFont="1" applyFill="1" applyBorder="1" applyAlignment="1">
      <alignment horizontal="right" vertical="center"/>
    </xf>
    <xf numFmtId="0" fontId="86" fillId="33" borderId="18" xfId="0" applyFont="1" applyFill="1" applyBorder="1" applyAlignment="1">
      <alignment horizontal="center" vertical="center"/>
    </xf>
    <xf numFmtId="0" fontId="93" fillId="0" borderId="0" xfId="0" applyFont="1" applyAlignment="1">
      <alignment horizontal="left" vertical="center"/>
    </xf>
    <xf numFmtId="0" fontId="93" fillId="0" borderId="0" xfId="0" applyFont="1" applyAlignment="1">
      <alignment vertical="center"/>
    </xf>
    <xf numFmtId="4" fontId="93" fillId="0" borderId="0" xfId="0" applyNumberFormat="1" applyFont="1" applyBorder="1" applyAlignment="1">
      <alignment horizontal="right" vertical="center"/>
    </xf>
    <xf numFmtId="4" fontId="93" fillId="0" borderId="0" xfId="0" applyNumberFormat="1" applyFont="1" applyBorder="1" applyAlignment="1">
      <alignment vertical="center"/>
    </xf>
    <xf numFmtId="0" fontId="87" fillId="0" borderId="0" xfId="0" applyFont="1" applyAlignment="1">
      <alignment horizontal="center" vertical="center"/>
    </xf>
    <xf numFmtId="0" fontId="94" fillId="0" borderId="0" xfId="37" applyFont="1" applyFill="1" applyBorder="1" applyAlignment="1" applyProtection="1">
      <alignment horizontal="center" vertical="center"/>
      <protection/>
    </xf>
    <xf numFmtId="0" fontId="95" fillId="0" borderId="13" xfId="0" applyFont="1" applyBorder="1" applyAlignment="1">
      <alignment vertical="center"/>
    </xf>
    <xf numFmtId="0" fontId="96" fillId="0" borderId="0" xfId="0" applyFont="1" applyAlignment="1">
      <alignment vertical="center"/>
    </xf>
    <xf numFmtId="0" fontId="96" fillId="0" borderId="0" xfId="0" applyFont="1" applyBorder="1" applyAlignment="1">
      <alignment horizontal="left" vertical="center"/>
    </xf>
    <xf numFmtId="0" fontId="97" fillId="0" borderId="0" xfId="0" applyFont="1" applyAlignment="1">
      <alignment vertical="center"/>
    </xf>
    <xf numFmtId="4" fontId="97" fillId="0" borderId="0" xfId="0" applyNumberFormat="1" applyFont="1" applyBorder="1" applyAlignment="1">
      <alignment vertical="center"/>
    </xf>
    <xf numFmtId="0" fontId="91" fillId="0" borderId="0" xfId="0" applyFont="1" applyAlignment="1">
      <alignment horizontal="center" vertical="center"/>
    </xf>
    <xf numFmtId="0" fontId="87" fillId="0" borderId="0" xfId="0" applyFont="1" applyFill="1" applyBorder="1" applyAlignment="1">
      <alignment horizontal="left" vertical="top" wrapText="1"/>
    </xf>
    <xf numFmtId="165" fontId="89" fillId="0" borderId="0" xfId="0" applyNumberFormat="1" applyFont="1" applyFill="1" applyBorder="1" applyAlignment="1">
      <alignment horizontal="center" vertical="center"/>
    </xf>
    <xf numFmtId="0" fontId="86" fillId="33" borderId="16" xfId="0" applyFont="1" applyFill="1" applyBorder="1" applyAlignment="1">
      <alignment horizontal="center" vertical="center"/>
    </xf>
    <xf numFmtId="0" fontId="86" fillId="33" borderId="17" xfId="0" applyFont="1" applyFill="1" applyBorder="1" applyAlignment="1">
      <alignment horizontal="center" vertical="center"/>
    </xf>
    <xf numFmtId="0" fontId="83" fillId="34" borderId="0" xfId="0" applyFont="1" applyFill="1" applyAlignment="1" applyProtection="1">
      <alignment/>
      <protection/>
    </xf>
    <xf numFmtId="0" fontId="98" fillId="34" borderId="0" xfId="0" applyFont="1" applyFill="1" applyAlignment="1" applyProtection="1">
      <alignment vertical="center"/>
      <protection/>
    </xf>
    <xf numFmtId="0" fontId="99" fillId="34" borderId="0" xfId="0" applyFont="1" applyFill="1" applyAlignment="1" applyProtection="1">
      <alignment horizontal="left" vertical="center"/>
      <protection/>
    </xf>
    <xf numFmtId="0" fontId="100" fillId="34" borderId="0" xfId="37" applyFont="1" applyFill="1" applyBorder="1" applyAlignment="1" applyProtection="1">
      <alignment vertical="center"/>
      <protection/>
    </xf>
    <xf numFmtId="0" fontId="87" fillId="0" borderId="0" xfId="0" applyFont="1" applyBorder="1" applyAlignment="1">
      <alignment/>
    </xf>
    <xf numFmtId="0" fontId="83" fillId="0" borderId="0" xfId="0" applyFont="1" applyAlignment="1">
      <alignment vertical="center" wrapText="1"/>
    </xf>
    <xf numFmtId="0" fontId="83" fillId="0" borderId="13" xfId="0" applyFont="1" applyBorder="1" applyAlignment="1">
      <alignment vertical="center" wrapText="1"/>
    </xf>
    <xf numFmtId="0" fontId="83" fillId="0" borderId="0" xfId="0" applyFont="1" applyBorder="1" applyAlignment="1">
      <alignment vertical="center" wrapText="1"/>
    </xf>
    <xf numFmtId="0" fontId="86" fillId="0" borderId="0" xfId="0" applyFont="1" applyBorder="1" applyAlignment="1">
      <alignment horizontal="left" vertical="center" wrapText="1"/>
    </xf>
    <xf numFmtId="0" fontId="83" fillId="0" borderId="14" xfId="0" applyFont="1" applyBorder="1" applyAlignment="1">
      <alignment vertical="center" wrapText="1"/>
    </xf>
    <xf numFmtId="0" fontId="83" fillId="0" borderId="21" xfId="0" applyFont="1" applyBorder="1" applyAlignment="1">
      <alignment vertical="center"/>
    </xf>
    <xf numFmtId="0" fontId="83" fillId="0" borderId="22" xfId="0" applyFont="1" applyBorder="1" applyAlignment="1">
      <alignment vertical="center"/>
    </xf>
    <xf numFmtId="0" fontId="88" fillId="0" borderId="0" xfId="0" applyFont="1" applyBorder="1" applyAlignment="1">
      <alignment horizontal="left" vertical="center"/>
    </xf>
    <xf numFmtId="4" fontId="89" fillId="0" borderId="0" xfId="0" applyNumberFormat="1" applyFont="1" applyBorder="1" applyAlignment="1">
      <alignment vertical="center"/>
    </xf>
    <xf numFmtId="165" fontId="89" fillId="0" borderId="0" xfId="0" applyNumberFormat="1" applyFont="1" applyBorder="1" applyAlignment="1">
      <alignment horizontal="right" vertical="center"/>
    </xf>
    <xf numFmtId="0" fontId="87" fillId="33" borderId="17" xfId="0" applyFont="1" applyFill="1" applyBorder="1" applyAlignment="1">
      <alignment horizontal="right" vertical="center"/>
    </xf>
    <xf numFmtId="4" fontId="87" fillId="33" borderId="17" xfId="0" applyNumberFormat="1" applyFont="1" applyFill="1" applyBorder="1" applyAlignment="1">
      <alignment vertical="center"/>
    </xf>
    <xf numFmtId="0" fontId="83" fillId="33" borderId="18" xfId="0" applyFont="1" applyFill="1" applyBorder="1" applyAlignment="1">
      <alignment vertical="center"/>
    </xf>
    <xf numFmtId="0" fontId="83" fillId="0" borderId="12" xfId="0" applyFont="1" applyBorder="1" applyAlignment="1">
      <alignment vertical="center"/>
    </xf>
    <xf numFmtId="0" fontId="86" fillId="33" borderId="0" xfId="0" applyFont="1" applyFill="1" applyBorder="1" applyAlignment="1">
      <alignment horizontal="left" vertical="center"/>
    </xf>
    <xf numFmtId="0" fontId="86" fillId="33" borderId="0" xfId="0" applyFont="1" applyFill="1" applyBorder="1" applyAlignment="1">
      <alignment horizontal="right" vertical="center"/>
    </xf>
    <xf numFmtId="0" fontId="93" fillId="0" borderId="0" xfId="0" applyFont="1" applyBorder="1" applyAlignment="1">
      <alignment horizontal="left" vertical="center"/>
    </xf>
    <xf numFmtId="0" fontId="101" fillId="0" borderId="0" xfId="0" applyFont="1" applyAlignment="1">
      <alignment vertical="center"/>
    </xf>
    <xf numFmtId="0" fontId="101" fillId="0" borderId="13" xfId="0" applyFont="1" applyBorder="1" applyAlignment="1">
      <alignment vertical="center"/>
    </xf>
    <xf numFmtId="0" fontId="101" fillId="0" borderId="0" xfId="0" applyFont="1" applyBorder="1" applyAlignment="1">
      <alignment vertical="center"/>
    </xf>
    <xf numFmtId="0" fontId="101" fillId="0" borderId="23" xfId="0" applyFont="1" applyBorder="1" applyAlignment="1">
      <alignment horizontal="left" vertical="center"/>
    </xf>
    <xf numFmtId="0" fontId="101" fillId="0" borderId="23" xfId="0" applyFont="1" applyBorder="1" applyAlignment="1">
      <alignment vertical="center"/>
    </xf>
    <xf numFmtId="4" fontId="101" fillId="0" borderId="23" xfId="0" applyNumberFormat="1" applyFont="1" applyBorder="1" applyAlignment="1">
      <alignment vertical="center"/>
    </xf>
    <xf numFmtId="0" fontId="101" fillId="0" borderId="14" xfId="0" applyFont="1" applyBorder="1" applyAlignment="1">
      <alignment vertical="center"/>
    </xf>
    <xf numFmtId="0" fontId="102" fillId="0" borderId="0" xfId="0" applyFont="1" applyAlignment="1">
      <alignment vertical="center"/>
    </xf>
    <xf numFmtId="0" fontId="102" fillId="0" borderId="13" xfId="0" applyFont="1" applyBorder="1" applyAlignment="1">
      <alignment vertical="center"/>
    </xf>
    <xf numFmtId="0" fontId="102" fillId="0" borderId="0" xfId="0" applyFont="1" applyBorder="1" applyAlignment="1">
      <alignment vertical="center"/>
    </xf>
    <xf numFmtId="0" fontId="102" fillId="0" borderId="23" xfId="0" applyFont="1" applyBorder="1" applyAlignment="1">
      <alignment horizontal="left" vertical="center"/>
    </xf>
    <xf numFmtId="0" fontId="102" fillId="0" borderId="23" xfId="0" applyFont="1" applyBorder="1" applyAlignment="1">
      <alignment vertical="center"/>
    </xf>
    <xf numFmtId="4" fontId="102" fillId="0" borderId="23" xfId="0" applyNumberFormat="1" applyFont="1" applyBorder="1" applyAlignment="1">
      <alignment vertical="center"/>
    </xf>
    <xf numFmtId="0" fontId="102" fillId="0" borderId="14" xfId="0" applyFont="1" applyBorder="1" applyAlignment="1">
      <alignment vertical="center"/>
    </xf>
    <xf numFmtId="0" fontId="86" fillId="0" borderId="0" xfId="0" applyFont="1" applyAlignment="1">
      <alignment horizontal="left" vertical="center"/>
    </xf>
    <xf numFmtId="166" fontId="86" fillId="0" borderId="0" xfId="0" applyNumberFormat="1" applyFont="1" applyAlignment="1">
      <alignment horizontal="left" vertical="center"/>
    </xf>
    <xf numFmtId="0" fontId="83" fillId="0" borderId="0" xfId="0" applyFont="1" applyAlignment="1">
      <alignment horizontal="center" vertical="center" wrapText="1"/>
    </xf>
    <xf numFmtId="0" fontId="83" fillId="0" borderId="0" xfId="0" applyFont="1" applyBorder="1" applyAlignment="1">
      <alignment horizontal="center" vertical="center" wrapText="1"/>
    </xf>
    <xf numFmtId="0" fontId="86" fillId="33" borderId="24" xfId="0" applyFont="1" applyFill="1" applyBorder="1" applyAlignment="1">
      <alignment horizontal="center" vertical="center" wrapText="1"/>
    </xf>
    <xf numFmtId="0" fontId="86" fillId="33" borderId="25" xfId="0" applyFont="1" applyFill="1" applyBorder="1" applyAlignment="1">
      <alignment horizontal="center" vertical="center" wrapText="1"/>
    </xf>
    <xf numFmtId="0" fontId="103" fillId="33" borderId="25" xfId="0" applyFont="1" applyFill="1" applyBorder="1" applyAlignment="1">
      <alignment horizontal="center" vertical="center" wrapText="1"/>
    </xf>
    <xf numFmtId="0" fontId="86" fillId="33" borderId="26" xfId="0" applyFont="1" applyFill="1" applyBorder="1" applyAlignment="1">
      <alignment horizontal="center" vertical="center" wrapText="1"/>
    </xf>
    <xf numFmtId="0" fontId="83" fillId="0" borderId="13" xfId="0" applyFont="1" applyBorder="1" applyAlignment="1">
      <alignment horizontal="center" vertical="center" wrapText="1"/>
    </xf>
    <xf numFmtId="4" fontId="93" fillId="0" borderId="0" xfId="0" applyNumberFormat="1" applyFont="1" applyAlignment="1">
      <alignment/>
    </xf>
    <xf numFmtId="0" fontId="104" fillId="0" borderId="0" xfId="0" applyFont="1" applyAlignment="1">
      <alignment/>
    </xf>
    <xf numFmtId="0" fontId="104" fillId="0" borderId="0" xfId="0" applyFont="1" applyBorder="1" applyAlignment="1">
      <alignment/>
    </xf>
    <xf numFmtId="0" fontId="104" fillId="0" borderId="0" xfId="0" applyFont="1" applyBorder="1" applyAlignment="1">
      <alignment horizontal="left"/>
    </xf>
    <xf numFmtId="0" fontId="101" fillId="0" borderId="0" xfId="0" applyFont="1" applyBorder="1" applyAlignment="1">
      <alignment horizontal="left"/>
    </xf>
    <xf numFmtId="4" fontId="101" fillId="0" borderId="0" xfId="0" applyNumberFormat="1" applyFont="1" applyBorder="1" applyAlignment="1">
      <alignment/>
    </xf>
    <xf numFmtId="0" fontId="104" fillId="0" borderId="13" xfId="0" applyFont="1" applyBorder="1" applyAlignment="1">
      <alignment/>
    </xf>
    <xf numFmtId="0" fontId="83" fillId="0" borderId="0" xfId="0" applyFont="1" applyBorder="1" applyAlignment="1" applyProtection="1">
      <alignment vertical="center"/>
      <protection/>
    </xf>
    <xf numFmtId="0" fontId="83" fillId="0" borderId="27" xfId="0" applyFont="1" applyBorder="1" applyAlignment="1" applyProtection="1">
      <alignment horizontal="center" vertical="center"/>
      <protection/>
    </xf>
    <xf numFmtId="49" fontId="83" fillId="0" borderId="27" xfId="0" applyNumberFormat="1" applyFont="1" applyBorder="1" applyAlignment="1" applyProtection="1">
      <alignment horizontal="left" vertical="center" wrapText="1"/>
      <protection/>
    </xf>
    <xf numFmtId="0" fontId="83" fillId="0" borderId="27" xfId="0" applyFont="1" applyBorder="1" applyAlignment="1" applyProtection="1">
      <alignment horizontal="left" vertical="center" wrapText="1"/>
      <protection/>
    </xf>
    <xf numFmtId="0" fontId="83" fillId="0" borderId="27" xfId="0" applyFont="1" applyBorder="1" applyAlignment="1" applyProtection="1">
      <alignment horizontal="center" vertical="center" wrapText="1"/>
      <protection/>
    </xf>
    <xf numFmtId="164" fontId="83" fillId="0" borderId="27" xfId="0" applyNumberFormat="1" applyFont="1" applyBorder="1" applyAlignment="1" applyProtection="1">
      <alignment vertical="center"/>
      <protection/>
    </xf>
    <xf numFmtId="4" fontId="83" fillId="0" borderId="27" xfId="0" applyNumberFormat="1" applyFont="1" applyBorder="1" applyAlignment="1" applyProtection="1">
      <alignment vertical="center"/>
      <protection/>
    </xf>
    <xf numFmtId="0" fontId="105" fillId="0" borderId="0" xfId="0" applyFont="1" applyBorder="1" applyAlignment="1">
      <alignment horizontal="left" vertical="center"/>
    </xf>
    <xf numFmtId="0" fontId="106" fillId="0" borderId="0" xfId="0" applyFont="1" applyBorder="1" applyAlignment="1">
      <alignment horizontal="left" vertical="center" wrapText="1"/>
    </xf>
    <xf numFmtId="0" fontId="107" fillId="0" borderId="0" xfId="0" applyFont="1" applyBorder="1" applyAlignment="1">
      <alignment horizontal="left" vertical="center"/>
    </xf>
    <xf numFmtId="0" fontId="108" fillId="0" borderId="0" xfId="0" applyFont="1" applyBorder="1" applyAlignment="1">
      <alignment horizontal="left" vertical="center" wrapText="1"/>
    </xf>
    <xf numFmtId="0" fontId="105" fillId="0" borderId="0" xfId="0" applyFont="1" applyAlignment="1">
      <alignment horizontal="left" vertical="center"/>
    </xf>
    <xf numFmtId="0" fontId="106" fillId="0" borderId="0" xfId="0" applyFont="1" applyAlignment="1">
      <alignment horizontal="left" vertical="center" wrapText="1"/>
    </xf>
    <xf numFmtId="0" fontId="107" fillId="0" borderId="0" xfId="0" applyFont="1" applyAlignment="1">
      <alignment horizontal="left" vertical="center"/>
    </xf>
    <xf numFmtId="0" fontId="108" fillId="0" borderId="0" xfId="0" applyFont="1" applyAlignment="1">
      <alignment horizontal="left" vertical="center" wrapText="1"/>
    </xf>
    <xf numFmtId="0" fontId="109" fillId="0" borderId="0" xfId="0" applyFont="1" applyAlignment="1">
      <alignment/>
    </xf>
    <xf numFmtId="0" fontId="104" fillId="0" borderId="0" xfId="0" applyFont="1" applyAlignment="1">
      <alignment horizontal="left"/>
    </xf>
    <xf numFmtId="0" fontId="101" fillId="0" borderId="0" xfId="0" applyFont="1" applyAlignment="1">
      <alignment horizontal="left"/>
    </xf>
    <xf numFmtId="4" fontId="101" fillId="0" borderId="0" xfId="0" applyNumberFormat="1" applyFont="1" applyAlignment="1">
      <alignment/>
    </xf>
    <xf numFmtId="0" fontId="102" fillId="0" borderId="0" xfId="0" applyFont="1" applyBorder="1" applyAlignment="1">
      <alignment horizontal="left"/>
    </xf>
    <xf numFmtId="4" fontId="102" fillId="0" borderId="0" xfId="0" applyNumberFormat="1" applyFont="1" applyBorder="1" applyAlignment="1">
      <alignment/>
    </xf>
    <xf numFmtId="0" fontId="110" fillId="0" borderId="0" xfId="0" applyFont="1" applyBorder="1" applyAlignment="1">
      <alignment vertical="center" wrapText="1"/>
    </xf>
    <xf numFmtId="164" fontId="111" fillId="0" borderId="27" xfId="0" applyNumberFormat="1" applyFont="1" applyBorder="1" applyAlignment="1" applyProtection="1">
      <alignment vertical="center"/>
      <protection/>
    </xf>
    <xf numFmtId="0" fontId="112" fillId="0" borderId="0" xfId="0" applyFont="1" applyBorder="1" applyAlignment="1">
      <alignment vertical="center" wrapText="1"/>
    </xf>
    <xf numFmtId="0" fontId="106" fillId="0" borderId="0" xfId="0" applyFont="1" applyBorder="1" applyAlignment="1">
      <alignment horizontal="left" vertical="center"/>
    </xf>
    <xf numFmtId="0" fontId="83" fillId="0" borderId="0" xfId="0" applyFont="1" applyBorder="1" applyAlignment="1">
      <alignment horizontal="left" vertical="center" wrapText="1"/>
    </xf>
    <xf numFmtId="0" fontId="113" fillId="0" borderId="27" xfId="0" applyFont="1" applyBorder="1" applyAlignment="1" applyProtection="1">
      <alignment horizontal="left" vertical="center" wrapText="1"/>
      <protection/>
    </xf>
    <xf numFmtId="0" fontId="113" fillId="0" borderId="13" xfId="0" applyFont="1" applyBorder="1" applyAlignment="1">
      <alignment vertical="center"/>
    </xf>
    <xf numFmtId="4" fontId="83" fillId="0" borderId="27" xfId="0" applyNumberFormat="1" applyFont="1" applyFill="1" applyBorder="1" applyAlignment="1" applyProtection="1">
      <alignment vertical="center"/>
      <protection/>
    </xf>
    <xf numFmtId="0" fontId="106" fillId="0" borderId="0" xfId="0" applyFont="1" applyAlignment="1">
      <alignment horizontal="left" vertical="center"/>
    </xf>
    <xf numFmtId="0" fontId="114" fillId="0" borderId="0" xfId="0" applyFont="1" applyAlignment="1">
      <alignment/>
    </xf>
    <xf numFmtId="0" fontId="114" fillId="0" borderId="0" xfId="0" applyFont="1" applyBorder="1" applyAlignment="1">
      <alignment/>
    </xf>
    <xf numFmtId="0" fontId="114" fillId="0" borderId="0" xfId="0" applyFont="1" applyBorder="1" applyAlignment="1">
      <alignment horizontal="left"/>
    </xf>
    <xf numFmtId="0" fontId="115" fillId="0" borderId="0" xfId="0" applyFont="1" applyBorder="1" applyAlignment="1">
      <alignment horizontal="left"/>
    </xf>
    <xf numFmtId="4" fontId="115" fillId="0" borderId="0" xfId="0" applyNumberFormat="1" applyFont="1" applyBorder="1" applyAlignment="1">
      <alignment/>
    </xf>
    <xf numFmtId="0" fontId="114" fillId="0" borderId="13" xfId="0" applyFont="1" applyBorder="1" applyAlignment="1">
      <alignment/>
    </xf>
    <xf numFmtId="0" fontId="116" fillId="0" borderId="0" xfId="0" applyFont="1" applyAlignment="1">
      <alignment/>
    </xf>
    <xf numFmtId="0" fontId="66" fillId="34" borderId="0" xfId="37" applyFill="1" applyBorder="1" applyAlignment="1" applyProtection="1">
      <alignment/>
      <protection/>
    </xf>
    <xf numFmtId="0" fontId="83" fillId="34" borderId="0" xfId="0" applyFont="1" applyFill="1" applyAlignment="1">
      <alignment/>
    </xf>
    <xf numFmtId="0" fontId="83" fillId="0" borderId="0" xfId="0" applyFont="1" applyAlignment="1">
      <alignment horizontal="left" vertical="center"/>
    </xf>
    <xf numFmtId="0" fontId="117" fillId="0" borderId="0" xfId="0" applyFont="1" applyAlignment="1">
      <alignment horizontal="left" vertical="center"/>
    </xf>
    <xf numFmtId="0" fontId="88" fillId="0" borderId="0" xfId="0" applyFont="1" applyBorder="1" applyAlignment="1">
      <alignment/>
    </xf>
    <xf numFmtId="0" fontId="86" fillId="33" borderId="28" xfId="0" applyFont="1" applyFill="1" applyBorder="1" applyAlignment="1">
      <alignment horizontal="center" vertical="center" wrapText="1"/>
    </xf>
    <xf numFmtId="0" fontId="85" fillId="0" borderId="24" xfId="0" applyFont="1" applyBorder="1" applyAlignment="1">
      <alignment horizontal="center" vertical="center" wrapText="1"/>
    </xf>
    <xf numFmtId="0" fontId="85" fillId="0" borderId="25" xfId="0" applyFont="1" applyBorder="1" applyAlignment="1">
      <alignment horizontal="center" vertical="center" wrapText="1"/>
    </xf>
    <xf numFmtId="0" fontId="85" fillId="0" borderId="26" xfId="0" applyFont="1" applyBorder="1" applyAlignment="1">
      <alignment horizontal="center" vertical="center" wrapText="1"/>
    </xf>
    <xf numFmtId="0" fontId="83" fillId="0" borderId="29" xfId="0" applyFont="1" applyBorder="1" applyAlignment="1">
      <alignment vertical="center"/>
    </xf>
    <xf numFmtId="167" fontId="118" fillId="0" borderId="21" xfId="0" applyNumberFormat="1" applyFont="1" applyBorder="1" applyAlignment="1">
      <alignment/>
    </xf>
    <xf numFmtId="167" fontId="118" fillId="0" borderId="30" xfId="0" applyNumberFormat="1" applyFont="1" applyBorder="1" applyAlignment="1">
      <alignment/>
    </xf>
    <xf numFmtId="4" fontId="119" fillId="0" borderId="0" xfId="0" applyNumberFormat="1" applyFont="1" applyAlignment="1">
      <alignment vertical="center"/>
    </xf>
    <xf numFmtId="0" fontId="104" fillId="0" borderId="31" xfId="0" applyFont="1" applyBorder="1" applyAlignment="1">
      <alignment/>
    </xf>
    <xf numFmtId="167" fontId="104" fillId="0" borderId="0" xfId="0" applyNumberFormat="1" applyFont="1" applyBorder="1" applyAlignment="1">
      <alignment/>
    </xf>
    <xf numFmtId="167" fontId="104" fillId="0" borderId="32" xfId="0" applyNumberFormat="1" applyFont="1" applyBorder="1" applyAlignment="1">
      <alignment/>
    </xf>
    <xf numFmtId="0" fontId="104" fillId="0" borderId="0" xfId="0" applyFont="1" applyAlignment="1">
      <alignment horizontal="center"/>
    </xf>
    <xf numFmtId="4" fontId="104" fillId="0" borderId="0" xfId="0" applyNumberFormat="1" applyFont="1" applyAlignment="1">
      <alignment vertical="center"/>
    </xf>
    <xf numFmtId="0" fontId="83" fillId="0" borderId="33" xfId="0" applyFont="1" applyBorder="1" applyAlignment="1" applyProtection="1">
      <alignment horizontal="left" vertical="center" wrapText="1"/>
      <protection/>
    </xf>
    <xf numFmtId="0" fontId="89" fillId="0" borderId="27" xfId="0" applyFont="1" applyBorder="1" applyAlignment="1">
      <alignment horizontal="left" vertical="center"/>
    </xf>
    <xf numFmtId="0" fontId="89" fillId="0" borderId="0" xfId="0" applyFont="1" applyBorder="1" applyAlignment="1">
      <alignment horizontal="center" vertical="center"/>
    </xf>
    <xf numFmtId="167" fontId="89" fillId="0" borderId="0" xfId="0" applyNumberFormat="1" applyFont="1" applyBorder="1" applyAlignment="1">
      <alignment vertical="center"/>
    </xf>
    <xf numFmtId="167" fontId="89" fillId="0" borderId="32" xfId="0" applyNumberFormat="1" applyFont="1" applyBorder="1" applyAlignment="1">
      <alignment vertical="center"/>
    </xf>
    <xf numFmtId="4" fontId="83" fillId="0" borderId="0" xfId="0" applyNumberFormat="1" applyFont="1" applyAlignment="1">
      <alignment vertical="center"/>
    </xf>
    <xf numFmtId="0" fontId="83" fillId="0" borderId="31" xfId="0" applyFont="1" applyBorder="1" applyAlignment="1">
      <alignment vertical="center"/>
    </xf>
    <xf numFmtId="0" fontId="83" fillId="0" borderId="32" xfId="0" applyFont="1" applyBorder="1" applyAlignment="1">
      <alignment vertical="center"/>
    </xf>
    <xf numFmtId="0" fontId="120" fillId="0" borderId="0" xfId="0" applyFont="1" applyAlignment="1">
      <alignment vertical="center"/>
    </xf>
    <xf numFmtId="0" fontId="120" fillId="0" borderId="0" xfId="0" applyFont="1" applyBorder="1" applyAlignment="1">
      <alignment vertical="center"/>
    </xf>
    <xf numFmtId="0" fontId="120" fillId="0" borderId="0" xfId="0" applyFont="1" applyBorder="1" applyAlignment="1">
      <alignment horizontal="left" vertical="center"/>
    </xf>
    <xf numFmtId="0" fontId="120" fillId="0" borderId="0" xfId="0" applyFont="1" applyBorder="1" applyAlignment="1">
      <alignment horizontal="left" vertical="center" wrapText="1"/>
    </xf>
    <xf numFmtId="164" fontId="120" fillId="0" borderId="0" xfId="0" applyNumberFormat="1" applyFont="1" applyBorder="1" applyAlignment="1">
      <alignment vertical="center"/>
    </xf>
    <xf numFmtId="0" fontId="120" fillId="0" borderId="31" xfId="0" applyFont="1" applyBorder="1" applyAlignment="1">
      <alignment vertical="center"/>
    </xf>
    <xf numFmtId="0" fontId="120" fillId="0" borderId="32" xfId="0" applyFont="1" applyBorder="1" applyAlignment="1">
      <alignment vertical="center"/>
    </xf>
    <xf numFmtId="0" fontId="120" fillId="0" borderId="0" xfId="0" applyFont="1" applyAlignment="1">
      <alignment horizontal="left" vertical="center"/>
    </xf>
    <xf numFmtId="49" fontId="121" fillId="0" borderId="27" xfId="0" applyNumberFormat="1" applyFont="1" applyBorder="1" applyAlignment="1" applyProtection="1">
      <alignment horizontal="left" vertical="center" wrapText="1"/>
      <protection/>
    </xf>
    <xf numFmtId="49" fontId="83" fillId="0" borderId="27" xfId="0" applyNumberFormat="1" applyFont="1" applyFill="1" applyBorder="1" applyAlignment="1" applyProtection="1">
      <alignment horizontal="left" vertical="center" wrapText="1"/>
      <protection/>
    </xf>
    <xf numFmtId="0" fontId="122" fillId="0" borderId="0" xfId="0" applyFont="1" applyAlignment="1">
      <alignment vertical="center"/>
    </xf>
    <xf numFmtId="0" fontId="122" fillId="0" borderId="0" xfId="0" applyFont="1" applyBorder="1" applyAlignment="1">
      <alignment vertical="center"/>
    </xf>
    <xf numFmtId="0" fontId="122" fillId="0" borderId="0" xfId="0" applyFont="1" applyAlignment="1">
      <alignment horizontal="left" vertical="center"/>
    </xf>
    <xf numFmtId="0" fontId="122" fillId="0" borderId="0" xfId="0" applyFont="1" applyAlignment="1">
      <alignment horizontal="left" vertical="center" wrapText="1"/>
    </xf>
    <xf numFmtId="0" fontId="122" fillId="0" borderId="31" xfId="0" applyFont="1" applyBorder="1" applyAlignment="1">
      <alignment vertical="center"/>
    </xf>
    <xf numFmtId="0" fontId="122" fillId="0" borderId="32" xfId="0" applyFont="1" applyBorder="1" applyAlignment="1">
      <alignment vertical="center"/>
    </xf>
    <xf numFmtId="0" fontId="83" fillId="0" borderId="0" xfId="0" applyFont="1" applyAlignment="1">
      <alignment horizontal="left" vertical="center" wrapText="1"/>
    </xf>
    <xf numFmtId="164" fontId="83" fillId="0" borderId="0" xfId="0" applyNumberFormat="1" applyFont="1" applyAlignment="1">
      <alignment vertical="center"/>
    </xf>
    <xf numFmtId="49" fontId="121" fillId="0" borderId="34" xfId="36" applyNumberFormat="1" applyFont="1" applyBorder="1" applyAlignment="1">
      <alignment vertical="center"/>
      <protection/>
    </xf>
    <xf numFmtId="49" fontId="83" fillId="0" borderId="34" xfId="36" applyNumberFormat="1" applyFont="1" applyBorder="1" applyAlignment="1">
      <alignment horizontal="left" vertical="center" wrapText="1"/>
      <protection/>
    </xf>
    <xf numFmtId="0" fontId="111" fillId="0" borderId="0" xfId="0" applyFont="1" applyAlignment="1">
      <alignment vertical="center"/>
    </xf>
    <xf numFmtId="0" fontId="111" fillId="0" borderId="0" xfId="0" applyFont="1" applyBorder="1" applyAlignment="1">
      <alignment vertical="center"/>
    </xf>
    <xf numFmtId="0" fontId="111" fillId="0" borderId="0" xfId="0" applyFont="1" applyAlignment="1">
      <alignment horizontal="left" vertical="center"/>
    </xf>
    <xf numFmtId="0" fontId="111" fillId="0" borderId="31" xfId="0" applyFont="1" applyBorder="1" applyAlignment="1">
      <alignment vertical="center"/>
    </xf>
    <xf numFmtId="0" fontId="111" fillId="0" borderId="32" xfId="0" applyFont="1" applyBorder="1" applyAlignment="1">
      <alignment vertical="center"/>
    </xf>
    <xf numFmtId="49" fontId="123" fillId="0" borderId="27" xfId="0" applyNumberFormat="1" applyFont="1" applyBorder="1" applyAlignment="1" applyProtection="1">
      <alignment horizontal="left" vertical="center" wrapText="1"/>
      <protection/>
    </xf>
    <xf numFmtId="49" fontId="83" fillId="0" borderId="34" xfId="36" applyNumberFormat="1" applyFont="1" applyBorder="1" applyAlignment="1">
      <alignment vertical="center"/>
      <protection/>
    </xf>
    <xf numFmtId="0" fontId="120" fillId="0" borderId="0" xfId="0" applyFont="1" applyAlignment="1">
      <alignment horizontal="left" vertical="center" wrapText="1"/>
    </xf>
    <xf numFmtId="164" fontId="120" fillId="0" borderId="0" xfId="0" applyNumberFormat="1" applyFont="1" applyAlignment="1">
      <alignment vertical="center"/>
    </xf>
    <xf numFmtId="49" fontId="83" fillId="0" borderId="35" xfId="36" applyNumberFormat="1" applyFont="1" applyBorder="1" applyAlignment="1">
      <alignment horizontal="left" vertical="center" wrapText="1"/>
      <protection/>
    </xf>
    <xf numFmtId="164" fontId="123" fillId="0" borderId="27" xfId="0" applyNumberFormat="1" applyFont="1" applyBorder="1" applyAlignment="1" applyProtection="1">
      <alignment vertical="center"/>
      <protection/>
    </xf>
    <xf numFmtId="0" fontId="123" fillId="0" borderId="0" xfId="0" applyFont="1" applyAlignment="1">
      <alignment vertical="center"/>
    </xf>
    <xf numFmtId="0" fontId="123" fillId="0" borderId="0" xfId="0" applyFont="1" applyBorder="1" applyAlignment="1">
      <alignment vertical="center"/>
    </xf>
    <xf numFmtId="0" fontId="124" fillId="0" borderId="0" xfId="0" applyFont="1" applyAlignment="1">
      <alignment horizontal="left" vertical="center"/>
    </xf>
    <xf numFmtId="0" fontId="123" fillId="0" borderId="0" xfId="0" applyFont="1" applyAlignment="1">
      <alignment horizontal="left" vertical="center"/>
    </xf>
    <xf numFmtId="0" fontId="123" fillId="0" borderId="31" xfId="0" applyFont="1" applyBorder="1" applyAlignment="1">
      <alignment vertical="center"/>
    </xf>
    <xf numFmtId="0" fontId="123" fillId="0" borderId="32" xfId="0" applyFont="1" applyBorder="1" applyAlignment="1">
      <alignment vertical="center"/>
    </xf>
    <xf numFmtId="0" fontId="125" fillId="0" borderId="0" xfId="0" applyFont="1" applyAlignment="1">
      <alignment vertical="center"/>
    </xf>
    <xf numFmtId="0" fontId="125" fillId="0" borderId="0" xfId="0" applyFont="1" applyBorder="1" applyAlignment="1">
      <alignment vertical="center"/>
    </xf>
    <xf numFmtId="0" fontId="125" fillId="0" borderId="0" xfId="0" applyFont="1" applyBorder="1" applyAlignment="1">
      <alignment horizontal="left" vertical="center"/>
    </xf>
    <xf numFmtId="164" fontId="83" fillId="0" borderId="0" xfId="0" applyNumberFormat="1" applyFont="1" applyBorder="1" applyAlignment="1">
      <alignment vertical="center"/>
    </xf>
    <xf numFmtId="0" fontId="125" fillId="0" borderId="31" xfId="0" applyFont="1" applyBorder="1" applyAlignment="1">
      <alignment vertical="center"/>
    </xf>
    <xf numFmtId="0" fontId="125" fillId="0" borderId="32" xfId="0" applyFont="1" applyBorder="1" applyAlignment="1">
      <alignment vertical="center"/>
    </xf>
    <xf numFmtId="0" fontId="125" fillId="0" borderId="0" xfId="0" applyFont="1" applyAlignment="1">
      <alignment horizontal="left" vertical="center"/>
    </xf>
    <xf numFmtId="0" fontId="83" fillId="0" borderId="0" xfId="0" applyFont="1" applyBorder="1" applyAlignment="1">
      <alignment horizontal="left" vertical="center"/>
    </xf>
    <xf numFmtId="0" fontId="123" fillId="0" borderId="0" xfId="0" applyFont="1" applyBorder="1" applyAlignment="1" applyProtection="1">
      <alignment vertical="center"/>
      <protection/>
    </xf>
    <xf numFmtId="0" fontId="123" fillId="0" borderId="27" xfId="0" applyFont="1" applyBorder="1" applyAlignment="1" applyProtection="1">
      <alignment horizontal="center" vertical="center"/>
      <protection/>
    </xf>
    <xf numFmtId="0" fontId="123" fillId="0" borderId="27" xfId="0" applyFont="1" applyBorder="1" applyAlignment="1" applyProtection="1">
      <alignment horizontal="left" vertical="center" wrapText="1"/>
      <protection/>
    </xf>
    <xf numFmtId="0" fontId="123" fillId="0" borderId="27" xfId="0" applyFont="1" applyBorder="1" applyAlignment="1" applyProtection="1">
      <alignment horizontal="center" vertical="center" wrapText="1"/>
      <protection/>
    </xf>
    <xf numFmtId="4" fontId="123" fillId="0" borderId="27" xfId="0" applyNumberFormat="1" applyFont="1" applyBorder="1" applyAlignment="1" applyProtection="1">
      <alignment vertical="center"/>
      <protection/>
    </xf>
    <xf numFmtId="0" fontId="123" fillId="0" borderId="33" xfId="0" applyFont="1" applyBorder="1" applyAlignment="1" applyProtection="1">
      <alignment horizontal="left" vertical="center" wrapText="1"/>
      <protection/>
    </xf>
    <xf numFmtId="0" fontId="123" fillId="0" borderId="27" xfId="0" applyFont="1" applyBorder="1" applyAlignment="1">
      <alignment horizontal="left" vertical="center"/>
    </xf>
    <xf numFmtId="0" fontId="123" fillId="0" borderId="0" xfId="0" applyFont="1" applyBorder="1" applyAlignment="1">
      <alignment horizontal="center" vertical="center"/>
    </xf>
    <xf numFmtId="167" fontId="123" fillId="0" borderId="0" xfId="0" applyNumberFormat="1" applyFont="1" applyBorder="1" applyAlignment="1">
      <alignment vertical="center"/>
    </xf>
    <xf numFmtId="167" fontId="123" fillId="0" borderId="32" xfId="0" applyNumberFormat="1" applyFont="1" applyBorder="1" applyAlignment="1">
      <alignment vertical="center"/>
    </xf>
    <xf numFmtId="4" fontId="123" fillId="0" borderId="0" xfId="0" applyNumberFormat="1" applyFont="1" applyAlignment="1">
      <alignment vertical="center"/>
    </xf>
    <xf numFmtId="0" fontId="120" fillId="0" borderId="34" xfId="0" applyFont="1" applyBorder="1" applyAlignment="1">
      <alignment horizontal="center" vertical="center"/>
    </xf>
    <xf numFmtId="0" fontId="105" fillId="0" borderId="34" xfId="0" applyFont="1" applyBorder="1" applyAlignment="1">
      <alignment horizontal="left" vertical="center"/>
    </xf>
    <xf numFmtId="0" fontId="120" fillId="0" borderId="34" xfId="0" applyFont="1" applyBorder="1" applyAlignment="1">
      <alignment horizontal="left" vertical="center"/>
    </xf>
    <xf numFmtId="0" fontId="120" fillId="0" borderId="34" xfId="0" applyFont="1" applyBorder="1" applyAlignment="1">
      <alignment horizontal="left" vertical="center" wrapText="1"/>
    </xf>
    <xf numFmtId="0" fontId="83" fillId="0" borderId="36" xfId="0" applyFont="1" applyBorder="1" applyAlignment="1">
      <alignment vertical="center"/>
    </xf>
    <xf numFmtId="0" fontId="83" fillId="0" borderId="23" xfId="0" applyFont="1" applyBorder="1" applyAlignment="1">
      <alignment vertical="center"/>
    </xf>
    <xf numFmtId="0" fontId="83" fillId="0" borderId="37" xfId="0" applyFont="1" applyBorder="1" applyAlignment="1">
      <alignment vertical="center"/>
    </xf>
    <xf numFmtId="0" fontId="0" fillId="0" borderId="0" xfId="0" applyBorder="1" applyAlignment="1">
      <alignment/>
    </xf>
    <xf numFmtId="0" fontId="83" fillId="0" borderId="38" xfId="0" applyFont="1" applyBorder="1" applyAlignment="1">
      <alignment/>
    </xf>
    <xf numFmtId="0" fontId="0" fillId="0" borderId="39" xfId="0" applyBorder="1" applyAlignment="1">
      <alignment/>
    </xf>
    <xf numFmtId="0" fontId="83" fillId="0" borderId="0" xfId="0" applyFont="1" applyAlignment="1">
      <alignment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Excel_BuiltIn_Hyperlink" xfId="37"/>
    <cellStyle name="Heading" xfId="38"/>
    <cellStyle name="Heading1" xfId="39"/>
    <cellStyle name="Chybně" xfId="40"/>
    <cellStyle name="Kontrolní buňka" xfId="41"/>
    <cellStyle name="Currency" xfId="42"/>
    <cellStyle name="Currency [0]" xfId="43"/>
    <cellStyle name="Nadpis 1" xfId="44"/>
    <cellStyle name="Nadpis 2" xfId="45"/>
    <cellStyle name="Nadpis 3" xfId="46"/>
    <cellStyle name="Nadpis 4" xfId="47"/>
    <cellStyle name="Název" xfId="48"/>
    <cellStyle name="Neutrální" xfId="49"/>
    <cellStyle name="Poznámka" xfId="50"/>
    <cellStyle name="Percent" xfId="51"/>
    <cellStyle name="Propojená buňka" xfId="52"/>
    <cellStyle name="Result" xfId="53"/>
    <cellStyle name="Result2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E54"/>
  <sheetViews>
    <sheetView zoomScalePageLayoutView="0" workbookViewId="0" topLeftCell="A40">
      <selection activeCell="A1" sqref="A1"/>
    </sheetView>
  </sheetViews>
  <sheetFormatPr defaultColWidth="9.00390625" defaultRowHeight="14.25"/>
  <cols>
    <col min="1" max="1" width="2.25390625" style="0" customWidth="1"/>
    <col min="2" max="2" width="1.875" style="0" customWidth="1"/>
    <col min="3" max="3" width="3.125" style="0" customWidth="1"/>
    <col min="4" max="16" width="2.125" style="0" customWidth="1"/>
    <col min="17" max="22" width="1.25" style="0" customWidth="1"/>
    <col min="23" max="23" width="11.625" style="0" customWidth="1"/>
    <col min="24" max="32" width="0.5" style="0" customWidth="1"/>
    <col min="33" max="33" width="14.375" style="0" customWidth="1"/>
    <col min="34" max="34" width="1.625" style="0" customWidth="1"/>
    <col min="35" max="35" width="9.125" style="0" customWidth="1"/>
    <col min="36" max="36" width="1.625" style="0" customWidth="1"/>
    <col min="37" max="37" width="13.625" style="0" customWidth="1"/>
    <col min="38" max="38" width="2.75390625" style="0" customWidth="1"/>
    <col min="39" max="39" width="7.125" style="0" customWidth="1"/>
    <col min="40" max="40" width="13.875" style="0" customWidth="1"/>
    <col min="41" max="41" width="2.75390625" style="0" customWidth="1"/>
    <col min="42" max="42" width="0.6171875" style="0" customWidth="1"/>
    <col min="43" max="43" width="5.375" style="0" customWidth="1"/>
    <col min="44" max="44" width="1.37890625" style="0" customWidth="1"/>
    <col min="45" max="16384" width="10.75390625" style="0" customWidth="1"/>
  </cols>
  <sheetData>
    <row r="1" spans="1:57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</row>
    <row r="2" spans="1:44" ht="15.75">
      <c r="A2" s="1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5"/>
      <c r="AR2" s="1"/>
    </row>
    <row r="3" spans="1:44" ht="21">
      <c r="A3" s="1"/>
      <c r="B3" s="6"/>
      <c r="C3" s="2"/>
      <c r="D3" s="7" t="s">
        <v>0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8"/>
      <c r="AR3" s="1"/>
    </row>
    <row r="4" spans="1:44" ht="15.75">
      <c r="A4" s="1"/>
      <c r="B4" s="6"/>
      <c r="C4" s="2"/>
      <c r="D4" s="9" t="s">
        <v>1</v>
      </c>
      <c r="E4" s="2"/>
      <c r="F4" s="2"/>
      <c r="G4" s="2"/>
      <c r="H4" s="2"/>
      <c r="I4" s="2"/>
      <c r="J4" s="2"/>
      <c r="K4" s="10" t="s">
        <v>2</v>
      </c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2"/>
      <c r="AQ4" s="8"/>
      <c r="AR4" s="1"/>
    </row>
    <row r="5" spans="1:44" ht="24" customHeight="1">
      <c r="A5" s="1"/>
      <c r="B5" s="6"/>
      <c r="C5" s="2"/>
      <c r="D5" s="11" t="s">
        <v>3</v>
      </c>
      <c r="E5" s="2"/>
      <c r="F5" s="2"/>
      <c r="G5" s="2"/>
      <c r="H5" s="2"/>
      <c r="I5" s="2"/>
      <c r="J5" s="2"/>
      <c r="K5" s="64" t="s">
        <v>4</v>
      </c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11"/>
      <c r="AP5" s="2"/>
      <c r="AQ5" s="8"/>
      <c r="AR5" s="1"/>
    </row>
    <row r="6" spans="1:44" ht="15.75">
      <c r="A6" s="1"/>
      <c r="B6" s="6"/>
      <c r="C6" s="2"/>
      <c r="D6" s="12" t="s">
        <v>5</v>
      </c>
      <c r="E6" s="2"/>
      <c r="F6" s="2"/>
      <c r="G6" s="2"/>
      <c r="H6" s="2"/>
      <c r="I6" s="2"/>
      <c r="J6" s="2"/>
      <c r="K6" s="10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12" t="s">
        <v>6</v>
      </c>
      <c r="AL6" s="2"/>
      <c r="AM6" s="2"/>
      <c r="AN6" s="10"/>
      <c r="AO6" s="2"/>
      <c r="AP6" s="2"/>
      <c r="AQ6" s="8"/>
      <c r="AR6" s="1"/>
    </row>
    <row r="7" spans="1:44" ht="15.75">
      <c r="A7" s="1"/>
      <c r="B7" s="6"/>
      <c r="C7" s="2"/>
      <c r="D7" s="12" t="s">
        <v>7</v>
      </c>
      <c r="E7" s="2"/>
      <c r="F7" s="2"/>
      <c r="G7" s="2"/>
      <c r="H7" s="2"/>
      <c r="I7" s="2"/>
      <c r="J7" s="2"/>
      <c r="K7" s="10" t="s">
        <v>8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12" t="s">
        <v>9</v>
      </c>
      <c r="AL7" s="2"/>
      <c r="AM7" s="2"/>
      <c r="AN7" s="13">
        <v>43580</v>
      </c>
      <c r="AO7" s="2"/>
      <c r="AP7" s="2"/>
      <c r="AQ7" s="8"/>
      <c r="AR7" s="1"/>
    </row>
    <row r="8" spans="1:44" ht="9.75" customHeight="1">
      <c r="A8" s="1"/>
      <c r="B8" s="6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8"/>
      <c r="AR8" s="1"/>
    </row>
    <row r="9" spans="1:44" ht="15.75">
      <c r="A9" s="1"/>
      <c r="B9" s="6"/>
      <c r="C9" s="2"/>
      <c r="D9" s="12" t="s">
        <v>10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12" t="s">
        <v>11</v>
      </c>
      <c r="AL9" s="2"/>
      <c r="AM9" s="2"/>
      <c r="AN9" s="10"/>
      <c r="AO9" s="2"/>
      <c r="AP9" s="2"/>
      <c r="AQ9" s="8"/>
      <c r="AR9" s="1"/>
    </row>
    <row r="10" spans="1:44" ht="15.75">
      <c r="A10" s="1"/>
      <c r="B10" s="6"/>
      <c r="C10" s="2"/>
      <c r="D10" s="2"/>
      <c r="E10" s="10" t="s">
        <v>12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12" t="s">
        <v>13</v>
      </c>
      <c r="AL10" s="2"/>
      <c r="AM10" s="2"/>
      <c r="AN10" s="10"/>
      <c r="AO10" s="2"/>
      <c r="AP10" s="2"/>
      <c r="AQ10" s="8"/>
      <c r="AR10" s="1"/>
    </row>
    <row r="11" spans="1:44" ht="9.75" customHeight="1">
      <c r="A11" s="1"/>
      <c r="B11" s="6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8"/>
      <c r="AR11" s="1"/>
    </row>
    <row r="12" spans="1:44" ht="15.75">
      <c r="A12" s="1"/>
      <c r="B12" s="6"/>
      <c r="C12" s="2"/>
      <c r="D12" s="12" t="s">
        <v>14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12" t="s">
        <v>11</v>
      </c>
      <c r="AL12" s="2"/>
      <c r="AM12" s="2"/>
      <c r="AN12" s="10"/>
      <c r="AO12" s="2"/>
      <c r="AP12" s="2"/>
      <c r="AQ12" s="8"/>
      <c r="AR12" s="1"/>
    </row>
    <row r="13" spans="1:44" ht="15.75">
      <c r="A13" s="1"/>
      <c r="B13" s="6"/>
      <c r="C13" s="2"/>
      <c r="D13" s="2"/>
      <c r="E13" s="10" t="s">
        <v>15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12" t="s">
        <v>13</v>
      </c>
      <c r="AL13" s="2"/>
      <c r="AM13" s="2"/>
      <c r="AN13" s="10"/>
      <c r="AO13" s="2"/>
      <c r="AP13" s="2"/>
      <c r="AQ13" s="8"/>
      <c r="AR13" s="1"/>
    </row>
    <row r="14" spans="1:44" ht="9" customHeight="1">
      <c r="A14" s="1"/>
      <c r="B14" s="6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8"/>
      <c r="AR14" s="1"/>
    </row>
    <row r="15" spans="1:44" ht="15.75">
      <c r="A15" s="1"/>
      <c r="B15" s="6"/>
      <c r="C15" s="2"/>
      <c r="D15" s="12" t="s">
        <v>16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12" t="s">
        <v>11</v>
      </c>
      <c r="AL15" s="2"/>
      <c r="AM15" s="2"/>
      <c r="AN15" s="10"/>
      <c r="AO15" s="2"/>
      <c r="AP15" s="2"/>
      <c r="AQ15" s="8"/>
      <c r="AR15" s="1"/>
    </row>
    <row r="16" spans="1:44" ht="15.75">
      <c r="A16" s="1"/>
      <c r="B16" s="6"/>
      <c r="C16" s="2"/>
      <c r="D16" s="2"/>
      <c r="E16" s="10" t="s">
        <v>17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12" t="s">
        <v>13</v>
      </c>
      <c r="AL16" s="2"/>
      <c r="AM16" s="2"/>
      <c r="AN16" s="10"/>
      <c r="AO16" s="2"/>
      <c r="AP16" s="2"/>
      <c r="AQ16" s="8"/>
      <c r="AR16" s="1"/>
    </row>
    <row r="17" spans="1:44" ht="9.75" customHeight="1">
      <c r="A17" s="1"/>
      <c r="B17" s="6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8"/>
      <c r="AR17" s="1"/>
    </row>
    <row r="18" spans="1:44" ht="15.75">
      <c r="A18" s="1"/>
      <c r="B18" s="6"/>
      <c r="C18" s="2"/>
      <c r="D18" s="12" t="s">
        <v>18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8"/>
      <c r="AR18" s="1"/>
    </row>
    <row r="19" spans="1:44" ht="15.75">
      <c r="A19" s="1"/>
      <c r="B19" s="6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8"/>
      <c r="AR19" s="1"/>
    </row>
    <row r="20" spans="1:44" ht="7.5" customHeight="1">
      <c r="A20" s="1"/>
      <c r="B20" s="6"/>
      <c r="C20" s="2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2"/>
      <c r="AQ20" s="8"/>
      <c r="AR20" s="1"/>
    </row>
    <row r="21" spans="1:44" ht="15">
      <c r="A21" s="14"/>
      <c r="B21" s="15"/>
      <c r="C21" s="16"/>
      <c r="D21" s="17" t="s">
        <v>19</v>
      </c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9">
        <f>ROUND(AG49,2)</f>
        <v>0</v>
      </c>
      <c r="AL21" s="19"/>
      <c r="AM21" s="19"/>
      <c r="AN21" s="19"/>
      <c r="AO21" s="19"/>
      <c r="AP21" s="16"/>
      <c r="AQ21" s="20"/>
      <c r="AR21" s="14"/>
    </row>
    <row r="22" spans="1:44" ht="14.25">
      <c r="A22" s="14"/>
      <c r="B22" s="15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20"/>
      <c r="AR22" s="14"/>
    </row>
    <row r="23" spans="1:44" ht="14.25">
      <c r="A23" s="14"/>
      <c r="B23" s="15"/>
      <c r="C23" s="16"/>
      <c r="D23" s="16"/>
      <c r="E23" s="16"/>
      <c r="F23" s="16"/>
      <c r="G23" s="16"/>
      <c r="H23" s="16"/>
      <c r="I23" s="16"/>
      <c r="J23" s="16"/>
      <c r="K23" s="16"/>
      <c r="L23" s="21"/>
      <c r="M23" s="21"/>
      <c r="N23" s="21"/>
      <c r="O23" s="21" t="s">
        <v>20</v>
      </c>
      <c r="P23" s="16"/>
      <c r="Q23" s="16"/>
      <c r="R23" s="16"/>
      <c r="S23" s="16"/>
      <c r="T23" s="16"/>
      <c r="U23" s="16"/>
      <c r="V23" s="16"/>
      <c r="W23" s="21"/>
      <c r="X23" s="21"/>
      <c r="Y23" s="21"/>
      <c r="Z23" s="21"/>
      <c r="AA23" s="21"/>
      <c r="AB23" s="21"/>
      <c r="AC23" s="21"/>
      <c r="AD23" s="21"/>
      <c r="AE23" s="21" t="s">
        <v>21</v>
      </c>
      <c r="AF23" s="16"/>
      <c r="AG23" s="16"/>
      <c r="AH23" s="16"/>
      <c r="AI23" s="16"/>
      <c r="AJ23" s="16"/>
      <c r="AK23" s="21" t="s">
        <v>22</v>
      </c>
      <c r="AL23" s="21"/>
      <c r="AM23" s="21"/>
      <c r="AN23" s="21"/>
      <c r="AO23" s="21"/>
      <c r="AP23" s="16"/>
      <c r="AQ23" s="20"/>
      <c r="AR23" s="14"/>
    </row>
    <row r="24" spans="1:44" ht="14.25">
      <c r="A24" s="22"/>
      <c r="B24" s="23"/>
      <c r="C24" s="24"/>
      <c r="D24" s="25" t="s">
        <v>23</v>
      </c>
      <c r="E24" s="24"/>
      <c r="F24" s="25" t="s">
        <v>24</v>
      </c>
      <c r="G24" s="24"/>
      <c r="H24" s="24"/>
      <c r="I24" s="24"/>
      <c r="J24" s="24"/>
      <c r="K24" s="24"/>
      <c r="L24" s="65">
        <v>0.21</v>
      </c>
      <c r="M24" s="65"/>
      <c r="N24" s="65"/>
      <c r="O24" s="65"/>
      <c r="P24" s="24"/>
      <c r="Q24" s="24"/>
      <c r="R24" s="24"/>
      <c r="S24" s="24"/>
      <c r="T24" s="24"/>
      <c r="U24" s="24"/>
      <c r="V24" s="24"/>
      <c r="W24" s="26">
        <f>AK21</f>
        <v>0</v>
      </c>
      <c r="X24" s="26"/>
      <c r="Y24" s="26"/>
      <c r="Z24" s="26"/>
      <c r="AA24" s="26"/>
      <c r="AB24" s="26"/>
      <c r="AC24" s="26"/>
      <c r="AD24" s="26"/>
      <c r="AE24" s="26"/>
      <c r="AF24" s="24"/>
      <c r="AG24" s="24"/>
      <c r="AH24" s="24"/>
      <c r="AI24" s="24"/>
      <c r="AJ24" s="24"/>
      <c r="AK24" s="26">
        <f>(W24*0.21)</f>
        <v>0</v>
      </c>
      <c r="AL24" s="26"/>
      <c r="AM24" s="26"/>
      <c r="AN24" s="26"/>
      <c r="AO24" s="26"/>
      <c r="AP24" s="24"/>
      <c r="AQ24" s="27"/>
      <c r="AR24" s="22"/>
    </row>
    <row r="25" spans="1:44" ht="14.25">
      <c r="A25" s="22"/>
      <c r="B25" s="23"/>
      <c r="C25" s="24"/>
      <c r="D25" s="24"/>
      <c r="E25" s="24"/>
      <c r="F25" s="25" t="s">
        <v>25</v>
      </c>
      <c r="G25" s="24"/>
      <c r="H25" s="24"/>
      <c r="I25" s="24"/>
      <c r="J25" s="24"/>
      <c r="K25" s="24"/>
      <c r="L25" s="65">
        <v>0.15</v>
      </c>
      <c r="M25" s="65"/>
      <c r="N25" s="65"/>
      <c r="O25" s="65"/>
      <c r="P25" s="24"/>
      <c r="Q25" s="24"/>
      <c r="R25" s="24"/>
      <c r="S25" s="24"/>
      <c r="T25" s="24"/>
      <c r="U25" s="24"/>
      <c r="V25" s="24"/>
      <c r="W25" s="26">
        <f>ROUND(BA49,2)</f>
        <v>0</v>
      </c>
      <c r="X25" s="26"/>
      <c r="Y25" s="26"/>
      <c r="Z25" s="26"/>
      <c r="AA25" s="26"/>
      <c r="AB25" s="26"/>
      <c r="AC25" s="26"/>
      <c r="AD25" s="26"/>
      <c r="AE25" s="26"/>
      <c r="AF25" s="24"/>
      <c r="AG25" s="24"/>
      <c r="AH25" s="24"/>
      <c r="AI25" s="24"/>
      <c r="AJ25" s="24"/>
      <c r="AK25" s="26">
        <f>ROUND(AW49,2)</f>
        <v>0</v>
      </c>
      <c r="AL25" s="26"/>
      <c r="AM25" s="26"/>
      <c r="AN25" s="26"/>
      <c r="AO25" s="26"/>
      <c r="AP25" s="24"/>
      <c r="AQ25" s="27"/>
      <c r="AR25" s="22"/>
    </row>
    <row r="26" spans="1:44" ht="14.25">
      <c r="A26" s="22"/>
      <c r="B26" s="23"/>
      <c r="C26" s="24"/>
      <c r="D26" s="24"/>
      <c r="E26" s="24"/>
      <c r="F26" s="25" t="s">
        <v>26</v>
      </c>
      <c r="G26" s="24"/>
      <c r="H26" s="24"/>
      <c r="I26" s="24"/>
      <c r="J26" s="24"/>
      <c r="K26" s="24"/>
      <c r="L26" s="65">
        <v>0.21</v>
      </c>
      <c r="M26" s="65"/>
      <c r="N26" s="65"/>
      <c r="O26" s="65"/>
      <c r="P26" s="24"/>
      <c r="Q26" s="24"/>
      <c r="R26" s="24"/>
      <c r="S26" s="24"/>
      <c r="T26" s="24"/>
      <c r="U26" s="24"/>
      <c r="V26" s="24"/>
      <c r="W26" s="26">
        <f>ROUND(BB49,2)</f>
        <v>0</v>
      </c>
      <c r="X26" s="26"/>
      <c r="Y26" s="26"/>
      <c r="Z26" s="26"/>
      <c r="AA26" s="26"/>
      <c r="AB26" s="26"/>
      <c r="AC26" s="26"/>
      <c r="AD26" s="26"/>
      <c r="AE26" s="26"/>
      <c r="AF26" s="24"/>
      <c r="AG26" s="24"/>
      <c r="AH26" s="24"/>
      <c r="AI26" s="24"/>
      <c r="AJ26" s="24"/>
      <c r="AK26" s="26">
        <v>0</v>
      </c>
      <c r="AL26" s="26"/>
      <c r="AM26" s="26"/>
      <c r="AN26" s="26"/>
      <c r="AO26" s="26"/>
      <c r="AP26" s="24"/>
      <c r="AQ26" s="27"/>
      <c r="AR26" s="22"/>
    </row>
    <row r="27" spans="1:44" ht="14.25">
      <c r="A27" s="22"/>
      <c r="B27" s="23"/>
      <c r="C27" s="24"/>
      <c r="D27" s="24"/>
      <c r="E27" s="24"/>
      <c r="F27" s="25" t="s">
        <v>27</v>
      </c>
      <c r="G27" s="24"/>
      <c r="H27" s="24"/>
      <c r="I27" s="24"/>
      <c r="J27" s="24"/>
      <c r="K27" s="24"/>
      <c r="L27" s="65">
        <v>0.15</v>
      </c>
      <c r="M27" s="65"/>
      <c r="N27" s="65"/>
      <c r="O27" s="65"/>
      <c r="P27" s="24"/>
      <c r="Q27" s="24"/>
      <c r="R27" s="24"/>
      <c r="S27" s="24"/>
      <c r="T27" s="24"/>
      <c r="U27" s="24"/>
      <c r="V27" s="24"/>
      <c r="W27" s="26">
        <f>ROUND(BC49,2)</f>
        <v>0</v>
      </c>
      <c r="X27" s="26"/>
      <c r="Y27" s="26"/>
      <c r="Z27" s="26"/>
      <c r="AA27" s="26"/>
      <c r="AB27" s="26"/>
      <c r="AC27" s="26"/>
      <c r="AD27" s="26"/>
      <c r="AE27" s="26"/>
      <c r="AF27" s="24"/>
      <c r="AG27" s="24"/>
      <c r="AH27" s="24"/>
      <c r="AI27" s="24"/>
      <c r="AJ27" s="24"/>
      <c r="AK27" s="26">
        <v>0</v>
      </c>
      <c r="AL27" s="26"/>
      <c r="AM27" s="26"/>
      <c r="AN27" s="26"/>
      <c r="AO27" s="26"/>
      <c r="AP27" s="24"/>
      <c r="AQ27" s="27"/>
      <c r="AR27" s="22"/>
    </row>
    <row r="28" spans="1:44" ht="14.25">
      <c r="A28" s="22"/>
      <c r="B28" s="23"/>
      <c r="C28" s="24"/>
      <c r="D28" s="24"/>
      <c r="E28" s="24"/>
      <c r="F28" s="25" t="s">
        <v>28</v>
      </c>
      <c r="G28" s="24"/>
      <c r="H28" s="24"/>
      <c r="I28" s="24"/>
      <c r="J28" s="24"/>
      <c r="K28" s="24"/>
      <c r="L28" s="65">
        <v>0</v>
      </c>
      <c r="M28" s="65"/>
      <c r="N28" s="65"/>
      <c r="O28" s="65"/>
      <c r="P28" s="24"/>
      <c r="Q28" s="24"/>
      <c r="R28" s="24"/>
      <c r="S28" s="24"/>
      <c r="T28" s="24"/>
      <c r="U28" s="24"/>
      <c r="V28" s="24"/>
      <c r="W28" s="26">
        <f>ROUND(BD49,2)</f>
        <v>0</v>
      </c>
      <c r="X28" s="26"/>
      <c r="Y28" s="26"/>
      <c r="Z28" s="26"/>
      <c r="AA28" s="26"/>
      <c r="AB28" s="26"/>
      <c r="AC28" s="26"/>
      <c r="AD28" s="26"/>
      <c r="AE28" s="26"/>
      <c r="AF28" s="24"/>
      <c r="AG28" s="24"/>
      <c r="AH28" s="24"/>
      <c r="AI28" s="24"/>
      <c r="AJ28" s="24"/>
      <c r="AK28" s="26">
        <v>0</v>
      </c>
      <c r="AL28" s="26"/>
      <c r="AM28" s="26"/>
      <c r="AN28" s="26"/>
      <c r="AO28" s="26"/>
      <c r="AP28" s="24"/>
      <c r="AQ28" s="27"/>
      <c r="AR28" s="22"/>
    </row>
    <row r="29" spans="1:44" ht="14.25">
      <c r="A29" s="14"/>
      <c r="B29" s="15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20"/>
      <c r="AR29" s="14"/>
    </row>
    <row r="30" spans="1:44" ht="18">
      <c r="A30" s="14"/>
      <c r="B30" s="15"/>
      <c r="C30" s="28"/>
      <c r="D30" s="29" t="s">
        <v>29</v>
      </c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1" t="s">
        <v>30</v>
      </c>
      <c r="U30" s="30"/>
      <c r="V30" s="30"/>
      <c r="W30" s="30"/>
      <c r="X30" s="32" t="s">
        <v>31</v>
      </c>
      <c r="Y30" s="32"/>
      <c r="Z30" s="32"/>
      <c r="AA30" s="32"/>
      <c r="AB30" s="32"/>
      <c r="AC30" s="30"/>
      <c r="AD30" s="30"/>
      <c r="AE30" s="30"/>
      <c r="AF30" s="30"/>
      <c r="AG30" s="30"/>
      <c r="AH30" s="30"/>
      <c r="AI30" s="30"/>
      <c r="AJ30" s="30"/>
      <c r="AK30" s="33">
        <f>SUM(AK21:AK28)</f>
        <v>0</v>
      </c>
      <c r="AL30" s="34"/>
      <c r="AM30" s="34"/>
      <c r="AN30" s="34"/>
      <c r="AO30" s="34"/>
      <c r="AP30" s="28"/>
      <c r="AQ30" s="35"/>
      <c r="AR30" s="14"/>
    </row>
    <row r="31" spans="1:44" ht="7.5" customHeight="1">
      <c r="A31" s="14"/>
      <c r="B31" s="15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20"/>
      <c r="AR31" s="14"/>
    </row>
    <row r="32" spans="1:44" ht="9" customHeight="1">
      <c r="A32" s="14"/>
      <c r="B32" s="36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37"/>
      <c r="AR32" s="14"/>
    </row>
    <row r="33" spans="1:44" ht="6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</row>
    <row r="34" spans="1:44" ht="70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</row>
    <row r="35" spans="1:44" ht="6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</row>
    <row r="36" spans="1:44" ht="14.25">
      <c r="A36" s="14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15"/>
    </row>
    <row r="37" spans="1:44" ht="21">
      <c r="A37" s="14"/>
      <c r="B37" s="15"/>
      <c r="C37" s="40" t="s">
        <v>32</v>
      </c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5"/>
    </row>
    <row r="38" spans="1:44" ht="14.25">
      <c r="A38" s="14"/>
      <c r="B38" s="15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5"/>
    </row>
    <row r="39" spans="1:44" ht="15">
      <c r="A39" s="41"/>
      <c r="B39" s="42"/>
      <c r="C39" s="43" t="s">
        <v>1</v>
      </c>
      <c r="D39" s="41"/>
      <c r="E39" s="41"/>
      <c r="F39" s="41"/>
      <c r="G39" s="41"/>
      <c r="H39" s="41"/>
      <c r="I39" s="41"/>
      <c r="J39" s="41"/>
      <c r="K39" s="41"/>
      <c r="L39" s="41" t="str">
        <f>K4</f>
        <v>701</v>
      </c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2"/>
    </row>
    <row r="40" spans="1:44" ht="21" customHeight="1">
      <c r="A40" s="44"/>
      <c r="B40" s="45"/>
      <c r="C40" s="46" t="s">
        <v>3</v>
      </c>
      <c r="D40" s="44"/>
      <c r="E40" s="44"/>
      <c r="F40" s="44"/>
      <c r="G40" s="44"/>
      <c r="H40" s="44"/>
      <c r="I40" s="44"/>
      <c r="J40" s="44"/>
      <c r="K40" s="44"/>
      <c r="L40" s="64" t="str">
        <f>K5</f>
        <v>Rekonstrukce VO vmístní části Stará Lhotka v České Třebové                                                                            </v>
      </c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47"/>
      <c r="AP40" s="44"/>
      <c r="AQ40" s="44"/>
      <c r="AR40" s="45"/>
    </row>
    <row r="41" spans="1:44" ht="14.25">
      <c r="A41" s="14"/>
      <c r="B41" s="15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5"/>
    </row>
    <row r="42" spans="1:44" ht="15">
      <c r="A42" s="14"/>
      <c r="B42" s="15"/>
      <c r="C42" s="43" t="s">
        <v>7</v>
      </c>
      <c r="D42" s="14"/>
      <c r="E42" s="14"/>
      <c r="F42" s="14"/>
      <c r="G42" s="14"/>
      <c r="H42" s="14"/>
      <c r="I42" s="14"/>
      <c r="J42" s="14"/>
      <c r="K42" s="14"/>
      <c r="L42" s="48" t="str">
        <f>IF(K7="","",K7)</f>
        <v>Česká Třebová</v>
      </c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43" t="s">
        <v>9</v>
      </c>
      <c r="AJ42" s="14"/>
      <c r="AK42" s="14"/>
      <c r="AL42" s="14"/>
      <c r="AM42" s="13">
        <f>IF(AN7="","",AN7)</f>
        <v>43580</v>
      </c>
      <c r="AN42" s="13"/>
      <c r="AO42" s="14"/>
      <c r="AP42" s="14"/>
      <c r="AQ42" s="14"/>
      <c r="AR42" s="15"/>
    </row>
    <row r="43" spans="1:44" ht="14.25">
      <c r="A43" s="14"/>
      <c r="B43" s="15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5"/>
    </row>
    <row r="44" spans="1:44" ht="15">
      <c r="A44" s="14"/>
      <c r="B44" s="15"/>
      <c r="C44" s="43" t="s">
        <v>10</v>
      </c>
      <c r="D44" s="14"/>
      <c r="E44" s="14"/>
      <c r="F44" s="14"/>
      <c r="G44" s="14"/>
      <c r="H44" s="14"/>
      <c r="I44" s="14"/>
      <c r="J44" s="14"/>
      <c r="K44" s="14"/>
      <c r="L44" s="41" t="str">
        <f>IF(E10="","",E10)</f>
        <v>Město Česká Třebová</v>
      </c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43" t="s">
        <v>16</v>
      </c>
      <c r="AJ44" s="14"/>
      <c r="AK44" s="14"/>
      <c r="AL44" s="14"/>
      <c r="AM44" s="49" t="str">
        <f>IF(E16="","",E16)</f>
        <v>ADECO spol. s r.o. Česká Třebová</v>
      </c>
      <c r="AN44" s="49"/>
      <c r="AO44" s="49"/>
      <c r="AP44" s="49"/>
      <c r="AQ44" s="14"/>
      <c r="AR44" s="15"/>
    </row>
    <row r="45" spans="1:44" ht="15">
      <c r="A45" s="14"/>
      <c r="B45" s="15"/>
      <c r="C45" s="43" t="s">
        <v>14</v>
      </c>
      <c r="D45" s="14"/>
      <c r="E45" s="14"/>
      <c r="F45" s="14"/>
      <c r="G45" s="14"/>
      <c r="H45" s="14"/>
      <c r="I45" s="14"/>
      <c r="J45" s="14"/>
      <c r="K45" s="14"/>
      <c r="L45" s="41" t="str">
        <f>IF(E13="","",E13)</f>
        <v> </v>
      </c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5"/>
    </row>
    <row r="46" spans="1:44" ht="14.25">
      <c r="A46" s="14"/>
      <c r="B46" s="15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5"/>
    </row>
    <row r="47" spans="1:44" ht="15">
      <c r="A47" s="14"/>
      <c r="B47" s="15"/>
      <c r="C47" s="66" t="s">
        <v>33</v>
      </c>
      <c r="D47" s="66"/>
      <c r="E47" s="66"/>
      <c r="F47" s="66"/>
      <c r="G47" s="66"/>
      <c r="H47" s="30"/>
      <c r="I47" s="67" t="s">
        <v>34</v>
      </c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50" t="s">
        <v>35</v>
      </c>
      <c r="AH47" s="50"/>
      <c r="AI47" s="50"/>
      <c r="AJ47" s="50"/>
      <c r="AK47" s="50"/>
      <c r="AL47" s="50"/>
      <c r="AM47" s="50"/>
      <c r="AN47" s="67" t="s">
        <v>36</v>
      </c>
      <c r="AO47" s="67"/>
      <c r="AP47" s="67"/>
      <c r="AQ47" s="51" t="s">
        <v>37</v>
      </c>
      <c r="AR47" s="15"/>
    </row>
    <row r="48" spans="1:44" ht="14.25">
      <c r="A48" s="14"/>
      <c r="B48" s="15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5"/>
    </row>
    <row r="49" spans="1:44" ht="18">
      <c r="A49" s="44"/>
      <c r="B49" s="45"/>
      <c r="C49" s="52" t="s">
        <v>38</v>
      </c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4">
        <f>ROUND(SUM(AG50:AG51),2)</f>
        <v>0</v>
      </c>
      <c r="AH49" s="54"/>
      <c r="AI49" s="54"/>
      <c r="AJ49" s="54"/>
      <c r="AK49" s="54"/>
      <c r="AL49" s="54"/>
      <c r="AM49" s="54"/>
      <c r="AN49" s="55">
        <f>SUM(AG49*1.21)</f>
        <v>0</v>
      </c>
      <c r="AO49" s="55"/>
      <c r="AP49" s="55"/>
      <c r="AQ49" s="56"/>
      <c r="AR49" s="45"/>
    </row>
    <row r="50" spans="1:44" ht="12.75" customHeight="1">
      <c r="A50" s="57"/>
      <c r="B50" s="58"/>
      <c r="C50" s="59"/>
      <c r="D50" s="60" t="s">
        <v>39</v>
      </c>
      <c r="E50" s="60"/>
      <c r="F50" s="60"/>
      <c r="G50" s="60"/>
      <c r="H50" s="60"/>
      <c r="I50" s="61"/>
      <c r="J50" s="60" t="s">
        <v>40</v>
      </c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2">
        <f>'SO - 01a - Elektromontáže'!J27</f>
        <v>0</v>
      </c>
      <c r="AH50" s="62"/>
      <c r="AI50" s="62"/>
      <c r="AJ50" s="62"/>
      <c r="AK50" s="62"/>
      <c r="AL50" s="62"/>
      <c r="AM50" s="62"/>
      <c r="AN50" s="62">
        <f>SUM(AG50*1.21)</f>
        <v>0</v>
      </c>
      <c r="AO50" s="62"/>
      <c r="AP50" s="62"/>
      <c r="AQ50" s="63" t="s">
        <v>41</v>
      </c>
      <c r="AR50" s="58"/>
    </row>
    <row r="51" spans="1:44" ht="12.75" customHeight="1">
      <c r="A51" s="57"/>
      <c r="B51" s="58"/>
      <c r="C51" s="59"/>
      <c r="D51" s="60" t="s">
        <v>42</v>
      </c>
      <c r="E51" s="60"/>
      <c r="F51" s="60"/>
      <c r="G51" s="60"/>
      <c r="H51" s="60"/>
      <c r="I51" s="61"/>
      <c r="J51" s="60" t="s">
        <v>43</v>
      </c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2">
        <f>'SO - 01 - Zemní práce'!J27</f>
        <v>0</v>
      </c>
      <c r="AH51" s="62"/>
      <c r="AI51" s="62"/>
      <c r="AJ51" s="62"/>
      <c r="AK51" s="62"/>
      <c r="AL51" s="62"/>
      <c r="AM51" s="62"/>
      <c r="AN51" s="62">
        <f>SUM(AG51*1.21)</f>
        <v>0</v>
      </c>
      <c r="AO51" s="62"/>
      <c r="AP51" s="62"/>
      <c r="AQ51" s="63" t="s">
        <v>41</v>
      </c>
      <c r="AR51" s="58"/>
    </row>
    <row r="52" spans="1:44" ht="14.25">
      <c r="A52" s="14"/>
      <c r="B52" s="15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5"/>
    </row>
    <row r="53" spans="1:44" ht="14.25">
      <c r="A53" s="14"/>
      <c r="B53" s="36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5"/>
    </row>
    <row r="54" spans="1:44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</row>
    <row r="55" ht="9.75" customHeight="1"/>
    <row r="56" ht="9.75" customHeight="1"/>
    <row r="57" ht="9.75" customHeight="1"/>
    <row r="58" ht="9.75" customHeight="1"/>
    <row r="59" ht="9.75" customHeight="1"/>
    <row r="60" ht="9.75" customHeight="1"/>
    <row r="61" ht="9.75" customHeight="1"/>
    <row r="62" ht="9.75" customHeight="1"/>
    <row r="63" ht="9.75" customHeight="1"/>
    <row r="64" ht="9.75" customHeight="1"/>
  </sheetData>
  <sheetProtection/>
  <mergeCells count="10">
    <mergeCell ref="L40:AN40"/>
    <mergeCell ref="C47:G47"/>
    <mergeCell ref="I47:AF47"/>
    <mergeCell ref="AN47:AP47"/>
    <mergeCell ref="K5:AN5"/>
    <mergeCell ref="L24:O24"/>
    <mergeCell ref="L25:O25"/>
    <mergeCell ref="L26:O26"/>
    <mergeCell ref="L27:O27"/>
    <mergeCell ref="L28:O28"/>
  </mergeCells>
  <printOptions/>
  <pageMargins left="0.11811023622047245" right="0" top="0.767716535433071" bottom="0.8866141732283466" header="0.4720472440944882" footer="0.49251968503937005"/>
  <pageSetup fitToHeight="0" fitToWidth="0" orientation="landscape" pageOrder="overThenDown" paperSize="9" scale="105"/>
  <headerFooter alignWithMargins="0">
    <oddFooter>&amp;C&amp;10Stránka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207"/>
  <sheetViews>
    <sheetView zoomScalePageLayoutView="0" workbookViewId="0" topLeftCell="A137">
      <selection activeCell="I211" sqref="I211"/>
    </sheetView>
  </sheetViews>
  <sheetFormatPr defaultColWidth="9.00390625" defaultRowHeight="14.25"/>
  <cols>
    <col min="1" max="1" width="2.00390625" style="0" customWidth="1"/>
    <col min="2" max="2" width="2.50390625" style="0" customWidth="1"/>
    <col min="3" max="3" width="3.625" style="0" customWidth="1"/>
    <col min="4" max="4" width="3.375" style="0" customWidth="1"/>
    <col min="5" max="5" width="11.25390625" style="0" customWidth="1"/>
    <col min="6" max="6" width="57.50390625" style="0" customWidth="1"/>
    <col min="7" max="7" width="6.375" style="0" customWidth="1"/>
    <col min="8" max="8" width="9.125" style="0" customWidth="1"/>
    <col min="9" max="9" width="9.25390625" style="0" customWidth="1"/>
    <col min="10" max="10" width="15.375" style="0" customWidth="1"/>
    <col min="11" max="11" width="8.875" style="0" customWidth="1"/>
    <col min="12" max="16384" width="10.75390625" style="0" customWidth="1"/>
  </cols>
  <sheetData>
    <row r="1" spans="1:12" ht="15.75">
      <c r="A1" s="68"/>
      <c r="B1" s="69"/>
      <c r="C1" s="69"/>
      <c r="D1" s="70" t="s">
        <v>44</v>
      </c>
      <c r="E1" s="69"/>
      <c r="F1" s="71" t="s">
        <v>45</v>
      </c>
      <c r="G1" s="71" t="s">
        <v>46</v>
      </c>
      <c r="H1" s="71"/>
      <c r="I1" s="69"/>
      <c r="J1" s="71" t="s">
        <v>47</v>
      </c>
      <c r="K1" s="70" t="s">
        <v>48</v>
      </c>
      <c r="L1" s="71"/>
    </row>
    <row r="2" spans="1:22" ht="7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11" ht="8.25" customHeight="1">
      <c r="A3" s="1"/>
      <c r="B3" s="3"/>
      <c r="C3" s="4"/>
      <c r="D3" s="4"/>
      <c r="E3" s="4"/>
      <c r="F3" s="4"/>
      <c r="G3" s="4"/>
      <c r="H3" s="4"/>
      <c r="I3" s="4"/>
      <c r="J3" s="4"/>
      <c r="K3" s="5"/>
    </row>
    <row r="4" spans="1:11" ht="21">
      <c r="A4" s="1"/>
      <c r="B4" s="6"/>
      <c r="C4" s="2"/>
      <c r="D4" s="7" t="s">
        <v>49</v>
      </c>
      <c r="E4" s="2"/>
      <c r="F4" s="2"/>
      <c r="G4" s="2"/>
      <c r="H4" s="2"/>
      <c r="I4" s="2"/>
      <c r="J4" s="2"/>
      <c r="K4" s="8"/>
    </row>
    <row r="5" spans="1:11" ht="9.75" customHeight="1">
      <c r="A5" s="1"/>
      <c r="B5" s="6"/>
      <c r="C5" s="2"/>
      <c r="D5" s="2"/>
      <c r="E5" s="2"/>
      <c r="F5" s="2"/>
      <c r="G5" s="2"/>
      <c r="H5" s="2"/>
      <c r="I5" s="2"/>
      <c r="J5" s="2"/>
      <c r="K5" s="8"/>
    </row>
    <row r="6" spans="1:11" ht="18">
      <c r="A6" s="1"/>
      <c r="B6" s="6"/>
      <c r="C6" s="2"/>
      <c r="D6" s="12" t="s">
        <v>3</v>
      </c>
      <c r="E6" s="2"/>
      <c r="F6" s="72" t="s">
        <v>50</v>
      </c>
      <c r="G6" s="2"/>
      <c r="H6" s="2"/>
      <c r="I6" s="2"/>
      <c r="J6" s="2"/>
      <c r="K6" s="8"/>
    </row>
    <row r="7" spans="1:11" ht="15.75">
      <c r="A7" s="1"/>
      <c r="B7" s="6"/>
      <c r="C7" s="2"/>
      <c r="D7" s="2"/>
      <c r="E7" s="12">
        <f>'SO - 01a - Elektromontáže'!K6</f>
        <v>0</v>
      </c>
      <c r="F7" s="12"/>
      <c r="G7" s="12"/>
      <c r="H7" s="12"/>
      <c r="I7" s="2"/>
      <c r="J7" s="2"/>
      <c r="K7" s="8"/>
    </row>
    <row r="8" spans="1:12" ht="15">
      <c r="A8" s="14"/>
      <c r="B8" s="15"/>
      <c r="C8" s="16"/>
      <c r="D8" s="12" t="s">
        <v>51</v>
      </c>
      <c r="E8" s="16"/>
      <c r="F8" s="16"/>
      <c r="G8" s="16"/>
      <c r="H8" s="16"/>
      <c r="I8" s="16"/>
      <c r="J8" s="16"/>
      <c r="K8" s="20"/>
      <c r="L8" s="14"/>
    </row>
    <row r="9" spans="1:12" ht="12.75" customHeight="1">
      <c r="A9" s="14"/>
      <c r="B9" s="15"/>
      <c r="C9" s="16"/>
      <c r="D9" s="16"/>
      <c r="E9" s="47" t="s">
        <v>52</v>
      </c>
      <c r="F9" s="47"/>
      <c r="G9" s="47"/>
      <c r="H9" s="47"/>
      <c r="I9" s="16"/>
      <c r="J9" s="16"/>
      <c r="K9" s="20"/>
      <c r="L9" s="14"/>
    </row>
    <row r="10" spans="1:12" ht="14.25">
      <c r="A10" s="14"/>
      <c r="B10" s="15"/>
      <c r="C10" s="16"/>
      <c r="D10" s="16"/>
      <c r="E10" s="16"/>
      <c r="F10" s="16"/>
      <c r="G10" s="16"/>
      <c r="H10" s="16"/>
      <c r="I10" s="16"/>
      <c r="J10" s="16"/>
      <c r="K10" s="20"/>
      <c r="L10" s="14"/>
    </row>
    <row r="11" spans="1:12" ht="15">
      <c r="A11" s="14"/>
      <c r="B11" s="15"/>
      <c r="C11" s="16"/>
      <c r="D11" s="12" t="s">
        <v>5</v>
      </c>
      <c r="E11" s="16"/>
      <c r="F11" s="10"/>
      <c r="G11" s="16"/>
      <c r="H11" s="16"/>
      <c r="I11" s="12" t="s">
        <v>6</v>
      </c>
      <c r="J11" s="10"/>
      <c r="K11" s="20"/>
      <c r="L11" s="14"/>
    </row>
    <row r="12" spans="1:12" ht="15">
      <c r="A12" s="14"/>
      <c r="B12" s="15"/>
      <c r="C12" s="16"/>
      <c r="D12" s="12" t="s">
        <v>7</v>
      </c>
      <c r="E12" s="16"/>
      <c r="F12" s="10" t="s">
        <v>15</v>
      </c>
      <c r="G12" s="16"/>
      <c r="H12" s="16"/>
      <c r="I12" s="12" t="s">
        <v>9</v>
      </c>
      <c r="J12" s="13">
        <v>43580</v>
      </c>
      <c r="K12" s="20"/>
      <c r="L12" s="14"/>
    </row>
    <row r="13" spans="1:12" ht="14.25">
      <c r="A13" s="14"/>
      <c r="B13" s="15"/>
      <c r="C13" s="16"/>
      <c r="D13" s="16"/>
      <c r="E13" s="16"/>
      <c r="F13" s="16"/>
      <c r="G13" s="16"/>
      <c r="H13" s="16"/>
      <c r="I13" s="16"/>
      <c r="J13" s="16"/>
      <c r="K13" s="20"/>
      <c r="L13" s="14"/>
    </row>
    <row r="14" spans="1:12" ht="15">
      <c r="A14" s="14"/>
      <c r="B14" s="15"/>
      <c r="C14" s="16"/>
      <c r="D14" s="12" t="s">
        <v>10</v>
      </c>
      <c r="E14" s="16"/>
      <c r="F14" s="16"/>
      <c r="G14" s="16"/>
      <c r="H14" s="16"/>
      <c r="I14" s="12" t="s">
        <v>11</v>
      </c>
      <c r="J14">
        <f>IF('SO - 01a - Elektromontáže'!AN10="","",'SO - 01a - Elektromontáže'!AN10)</f>
      </c>
      <c r="K14" s="20"/>
      <c r="L14" s="14"/>
    </row>
    <row r="15" spans="1:12" ht="15">
      <c r="A15" s="14"/>
      <c r="B15" s="15"/>
      <c r="C15" s="16"/>
      <c r="D15" s="16"/>
      <c r="E15" s="10" t="s">
        <v>12</v>
      </c>
      <c r="F15" s="16"/>
      <c r="G15" s="16"/>
      <c r="H15" s="16"/>
      <c r="I15" s="12" t="s">
        <v>13</v>
      </c>
      <c r="J15">
        <f>IF('SO - 01a - Elektromontáže'!AN11="","",'SO - 01a - Elektromontáže'!AN11)</f>
      </c>
      <c r="K15" s="20"/>
      <c r="L15" s="14"/>
    </row>
    <row r="16" spans="1:12" ht="14.25">
      <c r="A16" s="14"/>
      <c r="B16" s="15"/>
      <c r="C16" s="16"/>
      <c r="D16" s="16"/>
      <c r="E16" s="16"/>
      <c r="F16" s="16"/>
      <c r="G16" s="16"/>
      <c r="H16" s="16"/>
      <c r="I16" s="16"/>
      <c r="J16" s="16"/>
      <c r="K16" s="20"/>
      <c r="L16" s="14"/>
    </row>
    <row r="17" spans="1:12" ht="15">
      <c r="A17" s="14"/>
      <c r="B17" s="15"/>
      <c r="C17" s="16"/>
      <c r="D17" s="12" t="s">
        <v>14</v>
      </c>
      <c r="E17" s="16"/>
      <c r="F17" s="16"/>
      <c r="G17" s="16"/>
      <c r="H17" s="16"/>
      <c r="I17" s="12" t="s">
        <v>11</v>
      </c>
      <c r="J17">
        <f>IF('SO - 01a - Elektromontáže'!AN13="Vyplň údaj","",IF('SO - 01a - Elektromontáže'!AN13="","",'SO - 01a - Elektromontáže'!AN13))</f>
      </c>
      <c r="K17" s="20"/>
      <c r="L17" s="14"/>
    </row>
    <row r="18" spans="1:12" ht="15">
      <c r="A18" s="14"/>
      <c r="B18" s="15"/>
      <c r="C18" s="16"/>
      <c r="D18" s="16"/>
      <c r="E18">
        <f>IF('SO - 01a - Elektromontáže'!E14="Vyplň údaj","",IF('SO - 01a - Elektromontáže'!E14="","",'SO - 01a - Elektromontáže'!E14))</f>
      </c>
      <c r="F18" s="16"/>
      <c r="G18" s="16"/>
      <c r="H18" s="16"/>
      <c r="I18" s="12" t="s">
        <v>13</v>
      </c>
      <c r="J18">
        <f>IF('SO - 01a - Elektromontáže'!AN14="Vyplň údaj","",IF('SO - 01a - Elektromontáže'!AN14="","",'SO - 01a - Elektromontáže'!AN14))</f>
      </c>
      <c r="K18" s="20"/>
      <c r="L18" s="14"/>
    </row>
    <row r="19" spans="1:12" ht="6.75" customHeight="1">
      <c r="A19" s="14"/>
      <c r="B19" s="15"/>
      <c r="C19" s="16"/>
      <c r="D19" s="16"/>
      <c r="E19" s="16"/>
      <c r="F19" s="16"/>
      <c r="G19" s="16"/>
      <c r="H19" s="16"/>
      <c r="I19" s="16"/>
      <c r="J19" s="16"/>
      <c r="K19" s="20"/>
      <c r="L19" s="14"/>
    </row>
    <row r="20" spans="1:12" ht="15">
      <c r="A20" s="14"/>
      <c r="B20" s="15"/>
      <c r="C20" s="16"/>
      <c r="D20" s="12" t="s">
        <v>16</v>
      </c>
      <c r="E20" s="16"/>
      <c r="F20" s="16"/>
      <c r="G20" s="16"/>
      <c r="H20" s="16"/>
      <c r="I20" s="12" t="s">
        <v>11</v>
      </c>
      <c r="J20">
        <f>IF('SO - 01a - Elektromontáže'!AN16="","",'SO - 01a - Elektromontáže'!AN16)</f>
      </c>
      <c r="K20" s="20"/>
      <c r="L20" s="14"/>
    </row>
    <row r="21" spans="1:12" ht="15">
      <c r="A21" s="14"/>
      <c r="B21" s="15"/>
      <c r="C21" s="16"/>
      <c r="D21" s="16"/>
      <c r="E21" s="10" t="s">
        <v>53</v>
      </c>
      <c r="F21" s="16"/>
      <c r="G21" s="16"/>
      <c r="H21" s="16"/>
      <c r="I21" s="12" t="s">
        <v>13</v>
      </c>
      <c r="J21">
        <f>IF('SO - 01a - Elektromontáže'!AN17="","",'SO - 01a - Elektromontáže'!AN17)</f>
      </c>
      <c r="K21" s="20"/>
      <c r="L21" s="14"/>
    </row>
    <row r="22" spans="1:12" ht="6.75" customHeight="1">
      <c r="A22" s="14"/>
      <c r="B22" s="15"/>
      <c r="C22" s="16"/>
      <c r="D22" s="16"/>
      <c r="E22" s="16"/>
      <c r="F22" s="16"/>
      <c r="G22" s="16"/>
      <c r="H22" s="16"/>
      <c r="I22" s="16"/>
      <c r="J22" s="16"/>
      <c r="K22" s="20"/>
      <c r="L22" s="14"/>
    </row>
    <row r="23" spans="1:12" ht="12" customHeight="1">
      <c r="A23" s="14"/>
      <c r="B23" s="15"/>
      <c r="C23" s="16"/>
      <c r="D23" s="12" t="s">
        <v>18</v>
      </c>
      <c r="E23" s="16"/>
      <c r="F23" s="16"/>
      <c r="G23" s="16"/>
      <c r="H23" s="16"/>
      <c r="I23" s="16"/>
      <c r="J23" s="16"/>
      <c r="K23" s="20"/>
      <c r="L23" s="14"/>
    </row>
    <row r="24" spans="1:12" ht="49.5" customHeight="1">
      <c r="A24" s="73"/>
      <c r="B24" s="74"/>
      <c r="C24" s="75"/>
      <c r="D24" s="75"/>
      <c r="E24" s="76" t="s">
        <v>54</v>
      </c>
      <c r="F24" s="10"/>
      <c r="G24" s="10"/>
      <c r="H24" s="10"/>
      <c r="I24" s="75"/>
      <c r="J24" s="75"/>
      <c r="K24" s="77"/>
      <c r="L24" s="73"/>
    </row>
    <row r="25" spans="1:12" ht="6.75" customHeight="1">
      <c r="A25" s="14"/>
      <c r="B25" s="15"/>
      <c r="C25" s="16"/>
      <c r="D25" s="16"/>
      <c r="E25" s="16"/>
      <c r="F25" s="16"/>
      <c r="G25" s="16"/>
      <c r="H25" s="16"/>
      <c r="I25" s="16"/>
      <c r="J25" s="16"/>
      <c r="K25" s="20"/>
      <c r="L25" s="14"/>
    </row>
    <row r="26" spans="1:12" ht="6.75" customHeight="1">
      <c r="A26" s="14"/>
      <c r="B26" s="15"/>
      <c r="C26" s="16"/>
      <c r="D26" s="78"/>
      <c r="E26" s="78"/>
      <c r="F26" s="78"/>
      <c r="G26" s="78"/>
      <c r="H26" s="78"/>
      <c r="I26" s="78"/>
      <c r="J26" s="78"/>
      <c r="K26" s="79"/>
      <c r="L26" s="14"/>
    </row>
    <row r="27" spans="1:12" ht="18">
      <c r="A27" s="14"/>
      <c r="B27" s="15"/>
      <c r="C27" s="16"/>
      <c r="D27" s="80" t="s">
        <v>19</v>
      </c>
      <c r="E27" s="16"/>
      <c r="F27" s="16"/>
      <c r="G27" s="16"/>
      <c r="H27" s="16"/>
      <c r="I27" s="16"/>
      <c r="J27" s="55">
        <f>ROUND(J84,2)</f>
        <v>0</v>
      </c>
      <c r="K27" s="20"/>
      <c r="L27" s="14"/>
    </row>
    <row r="28" spans="1:12" ht="14.25">
      <c r="A28" s="14"/>
      <c r="B28" s="15"/>
      <c r="C28" s="16"/>
      <c r="D28" s="78"/>
      <c r="E28" s="78"/>
      <c r="F28" s="78"/>
      <c r="G28" s="78"/>
      <c r="H28" s="78"/>
      <c r="I28" s="78"/>
      <c r="J28" s="78"/>
      <c r="K28" s="79"/>
      <c r="L28" s="14"/>
    </row>
    <row r="29" spans="1:12" ht="14.25">
      <c r="A29" s="14"/>
      <c r="B29" s="15"/>
      <c r="C29" s="16"/>
      <c r="D29" s="16"/>
      <c r="E29" s="16"/>
      <c r="F29" s="21" t="s">
        <v>21</v>
      </c>
      <c r="G29" s="16"/>
      <c r="H29" s="16"/>
      <c r="I29" s="21" t="s">
        <v>20</v>
      </c>
      <c r="J29" s="21" t="s">
        <v>22</v>
      </c>
      <c r="K29" s="20"/>
      <c r="L29" s="14"/>
    </row>
    <row r="30" spans="1:12" ht="14.25">
      <c r="A30" s="14"/>
      <c r="B30" s="15"/>
      <c r="C30" s="16"/>
      <c r="D30" s="25" t="s">
        <v>23</v>
      </c>
      <c r="E30" s="25" t="s">
        <v>24</v>
      </c>
      <c r="F30" s="81">
        <f>J27</f>
        <v>0</v>
      </c>
      <c r="G30" s="16"/>
      <c r="H30" s="16"/>
      <c r="I30" s="82">
        <v>0.21</v>
      </c>
      <c r="J30" s="81">
        <f>ROUND(F30,2)*I30</f>
        <v>0</v>
      </c>
      <c r="K30" s="20"/>
      <c r="L30" s="14"/>
    </row>
    <row r="31" spans="1:12" ht="14.25">
      <c r="A31" s="14"/>
      <c r="B31" s="15"/>
      <c r="C31" s="16"/>
      <c r="D31" s="16"/>
      <c r="E31" s="25" t="s">
        <v>25</v>
      </c>
      <c r="F31" s="81">
        <f>ROUND(SUM(BF84:BF198),2)</f>
        <v>0</v>
      </c>
      <c r="G31" s="16"/>
      <c r="H31" s="16"/>
      <c r="I31" s="82">
        <v>0.15</v>
      </c>
      <c r="J31" s="81">
        <f>ROUND(ROUND((SUM(BF84:BF198)),2)*I31,2)</f>
        <v>0</v>
      </c>
      <c r="K31" s="20"/>
      <c r="L31" s="14"/>
    </row>
    <row r="32" spans="1:12" ht="14.25">
      <c r="A32" s="14"/>
      <c r="B32" s="15"/>
      <c r="C32" s="16"/>
      <c r="D32" s="16"/>
      <c r="E32" s="25" t="s">
        <v>26</v>
      </c>
      <c r="F32" s="81">
        <f>ROUND(SUM(BG84:BG198),2)</f>
        <v>0</v>
      </c>
      <c r="G32" s="16"/>
      <c r="H32" s="16"/>
      <c r="I32" s="82">
        <v>0.21</v>
      </c>
      <c r="J32" s="81">
        <v>0</v>
      </c>
      <c r="K32" s="20"/>
      <c r="L32" s="14"/>
    </row>
    <row r="33" spans="1:12" ht="14.25">
      <c r="A33" s="14"/>
      <c r="B33" s="15"/>
      <c r="C33" s="16"/>
      <c r="D33" s="16"/>
      <c r="E33" s="25" t="s">
        <v>27</v>
      </c>
      <c r="F33" s="81">
        <f>ROUND(SUM(BH84:BH198),2)</f>
        <v>0</v>
      </c>
      <c r="G33" s="16"/>
      <c r="H33" s="16"/>
      <c r="I33" s="82">
        <v>0.15</v>
      </c>
      <c r="J33" s="81">
        <v>0</v>
      </c>
      <c r="K33" s="20"/>
      <c r="L33" s="14"/>
    </row>
    <row r="34" spans="1:12" ht="14.25">
      <c r="A34" s="14"/>
      <c r="B34" s="15"/>
      <c r="C34" s="16"/>
      <c r="D34" s="16"/>
      <c r="E34" s="25" t="s">
        <v>28</v>
      </c>
      <c r="F34" s="81">
        <f>ROUND(SUM(BI84:BI198),2)</f>
        <v>0</v>
      </c>
      <c r="G34" s="16"/>
      <c r="H34" s="16"/>
      <c r="I34" s="82">
        <v>0</v>
      </c>
      <c r="J34" s="81">
        <v>0</v>
      </c>
      <c r="K34" s="20"/>
      <c r="L34" s="14"/>
    </row>
    <row r="35" spans="1:12" ht="14.25">
      <c r="A35" s="14"/>
      <c r="B35" s="15"/>
      <c r="C35" s="16"/>
      <c r="D35" s="16"/>
      <c r="E35" s="16"/>
      <c r="F35" s="16"/>
      <c r="G35" s="16"/>
      <c r="H35" s="16"/>
      <c r="I35" s="16"/>
      <c r="J35" s="16"/>
      <c r="K35" s="20"/>
      <c r="L35" s="14"/>
    </row>
    <row r="36" spans="1:12" ht="18">
      <c r="A36" s="14"/>
      <c r="B36" s="15"/>
      <c r="C36" s="28"/>
      <c r="D36" s="29" t="s">
        <v>29</v>
      </c>
      <c r="E36" s="30"/>
      <c r="F36" s="30"/>
      <c r="G36" s="83" t="s">
        <v>30</v>
      </c>
      <c r="H36" s="31" t="s">
        <v>31</v>
      </c>
      <c r="I36" s="30"/>
      <c r="J36" s="84">
        <f>SUM(J27:J34)</f>
        <v>0</v>
      </c>
      <c r="K36" s="85"/>
      <c r="L36" s="14"/>
    </row>
    <row r="37" spans="1:12" ht="14.25">
      <c r="A37" s="14"/>
      <c r="B37" s="36"/>
      <c r="C37" s="18"/>
      <c r="D37" s="18"/>
      <c r="E37" s="18"/>
      <c r="F37" s="18"/>
      <c r="G37" s="18"/>
      <c r="H37" s="18"/>
      <c r="I37" s="18"/>
      <c r="J37" s="18"/>
      <c r="K37" s="37"/>
      <c r="L37" s="14"/>
    </row>
    <row r="38" spans="1:11" ht="15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2" ht="14.25">
      <c r="A41" s="14"/>
      <c r="B41" s="38"/>
      <c r="C41" s="39"/>
      <c r="D41" s="39"/>
      <c r="E41" s="39"/>
      <c r="F41" s="39"/>
      <c r="G41" s="39"/>
      <c r="H41" s="39"/>
      <c r="I41" s="39"/>
      <c r="J41" s="39"/>
      <c r="K41" s="86"/>
      <c r="L41" s="14"/>
    </row>
    <row r="42" spans="1:12" ht="21">
      <c r="A42" s="14"/>
      <c r="B42" s="15"/>
      <c r="C42" s="7" t="s">
        <v>55</v>
      </c>
      <c r="D42" s="16"/>
      <c r="E42" s="16"/>
      <c r="F42" s="16"/>
      <c r="G42" s="16"/>
      <c r="H42" s="16"/>
      <c r="I42" s="16"/>
      <c r="J42" s="16"/>
      <c r="K42" s="20"/>
      <c r="L42" s="14"/>
    </row>
    <row r="43" spans="1:12" ht="14.25">
      <c r="A43" s="14"/>
      <c r="B43" s="15"/>
      <c r="C43" s="16"/>
      <c r="D43" s="16"/>
      <c r="E43" s="16"/>
      <c r="F43" s="16"/>
      <c r="G43" s="16"/>
      <c r="H43" s="16"/>
      <c r="I43" s="16"/>
      <c r="J43" s="16"/>
      <c r="K43" s="20"/>
      <c r="L43" s="14"/>
    </row>
    <row r="44" spans="1:12" ht="15">
      <c r="A44" s="14"/>
      <c r="B44" s="15"/>
      <c r="C44" s="12" t="s">
        <v>3</v>
      </c>
      <c r="D44" s="16"/>
      <c r="E44" s="16"/>
      <c r="F44" s="16"/>
      <c r="G44" s="16"/>
      <c r="H44" s="16"/>
      <c r="I44" s="16"/>
      <c r="J44" s="16"/>
      <c r="K44" s="20"/>
      <c r="L44" s="14"/>
    </row>
    <row r="45" spans="1:12" ht="15">
      <c r="A45" s="14"/>
      <c r="B45" s="15"/>
      <c r="C45" s="16"/>
      <c r="D45" s="16"/>
      <c r="E45" s="12">
        <f>E7</f>
        <v>0</v>
      </c>
      <c r="F45" s="12"/>
      <c r="G45" s="12"/>
      <c r="H45" s="12"/>
      <c r="I45" s="16"/>
      <c r="J45" s="16"/>
      <c r="K45" s="20"/>
      <c r="L45" s="14"/>
    </row>
    <row r="46" spans="1:12" ht="15">
      <c r="A46" s="14"/>
      <c r="B46" s="15"/>
      <c r="C46" s="12" t="s">
        <v>51</v>
      </c>
      <c r="D46" s="16"/>
      <c r="E46" s="16"/>
      <c r="F46" s="16"/>
      <c r="G46" s="16"/>
      <c r="H46" s="16"/>
      <c r="I46" s="16"/>
      <c r="J46" s="16"/>
      <c r="K46" s="20"/>
      <c r="L46" s="14"/>
    </row>
    <row r="47" spans="1:12" ht="18">
      <c r="A47" s="14"/>
      <c r="B47" s="15"/>
      <c r="C47" s="16"/>
      <c r="D47" s="16"/>
      <c r="E47" s="47" t="str">
        <f>E9</f>
        <v>SO - 01a - Elektromontáže</v>
      </c>
      <c r="F47" s="47"/>
      <c r="G47" s="47"/>
      <c r="H47" s="47"/>
      <c r="I47" s="16"/>
      <c r="J47" s="16"/>
      <c r="K47" s="20"/>
      <c r="L47" s="14"/>
    </row>
    <row r="48" spans="1:12" ht="14.25">
      <c r="A48" s="14"/>
      <c r="B48" s="15"/>
      <c r="C48" s="16"/>
      <c r="D48" s="16"/>
      <c r="E48" s="16"/>
      <c r="F48" s="16"/>
      <c r="G48" s="16"/>
      <c r="H48" s="16"/>
      <c r="I48" s="16"/>
      <c r="J48" s="16"/>
      <c r="K48" s="20"/>
      <c r="L48" s="14"/>
    </row>
    <row r="49" spans="1:12" ht="15">
      <c r="A49" s="14"/>
      <c r="B49" s="15"/>
      <c r="C49" s="12" t="s">
        <v>7</v>
      </c>
      <c r="D49" s="16"/>
      <c r="E49" s="16"/>
      <c r="F49" s="10" t="str">
        <f>F12</f>
        <v> </v>
      </c>
      <c r="G49" s="16"/>
      <c r="H49" s="16"/>
      <c r="I49" s="12" t="s">
        <v>9</v>
      </c>
      <c r="J49" s="13">
        <v>43580</v>
      </c>
      <c r="K49" s="20"/>
      <c r="L49" s="14"/>
    </row>
    <row r="50" spans="1:12" ht="14.25">
      <c r="A50" s="14"/>
      <c r="B50" s="15"/>
      <c r="C50" s="16"/>
      <c r="D50" s="16"/>
      <c r="E50" s="16"/>
      <c r="F50" s="16"/>
      <c r="G50" s="16"/>
      <c r="H50" s="16"/>
      <c r="I50" s="16"/>
      <c r="J50" s="16"/>
      <c r="K50" s="20"/>
      <c r="L50" s="14"/>
    </row>
    <row r="51" spans="1:12" ht="15">
      <c r="A51" s="14"/>
      <c r="B51" s="15"/>
      <c r="C51" s="12" t="s">
        <v>10</v>
      </c>
      <c r="D51" s="16"/>
      <c r="E51" s="16"/>
      <c r="F51" s="10" t="str">
        <f>E15</f>
        <v>Město Česká Třebová</v>
      </c>
      <c r="G51" s="16"/>
      <c r="H51" s="16"/>
      <c r="I51" s="12" t="s">
        <v>16</v>
      </c>
      <c r="J51" s="10" t="str">
        <f>E21</f>
        <v>ADECO spol. s.r.o. Česká Třebová</v>
      </c>
      <c r="K51" s="20"/>
      <c r="L51" s="14"/>
    </row>
    <row r="52" spans="1:12" ht="15">
      <c r="A52" s="14"/>
      <c r="B52" s="15"/>
      <c r="C52" s="12" t="s">
        <v>14</v>
      </c>
      <c r="D52" s="16"/>
      <c r="E52" s="16"/>
      <c r="F52" s="10">
        <f>IF(E18="","",E18)</f>
      </c>
      <c r="G52" s="16"/>
      <c r="H52" s="16"/>
      <c r="I52" s="16"/>
      <c r="J52" s="16"/>
      <c r="K52" s="20"/>
      <c r="L52" s="14"/>
    </row>
    <row r="53" spans="1:12" ht="14.25">
      <c r="A53" s="14"/>
      <c r="B53" s="15"/>
      <c r="C53" s="16"/>
      <c r="D53" s="16"/>
      <c r="E53" s="16"/>
      <c r="F53" s="16"/>
      <c r="G53" s="16"/>
      <c r="H53" s="16"/>
      <c r="I53" s="16"/>
      <c r="J53" s="16"/>
      <c r="K53" s="20"/>
      <c r="L53" s="14"/>
    </row>
    <row r="54" spans="1:12" ht="15">
      <c r="A54" s="14"/>
      <c r="B54" s="15"/>
      <c r="C54" s="87" t="s">
        <v>56</v>
      </c>
      <c r="D54" s="28"/>
      <c r="E54" s="28"/>
      <c r="F54" s="28"/>
      <c r="G54" s="28"/>
      <c r="H54" s="28"/>
      <c r="I54" s="28"/>
      <c r="J54" s="88" t="s">
        <v>57</v>
      </c>
      <c r="K54" s="35"/>
      <c r="L54" s="14"/>
    </row>
    <row r="55" spans="1:12" ht="14.25">
      <c r="A55" s="14"/>
      <c r="B55" s="15"/>
      <c r="C55" s="16"/>
      <c r="D55" s="16"/>
      <c r="E55" s="16"/>
      <c r="F55" s="16"/>
      <c r="G55" s="16"/>
      <c r="H55" s="16"/>
      <c r="I55" s="16"/>
      <c r="J55" s="16"/>
      <c r="K55" s="20"/>
      <c r="L55" s="14"/>
    </row>
    <row r="56" spans="1:12" ht="18">
      <c r="A56" s="14"/>
      <c r="B56" s="15"/>
      <c r="C56" s="89" t="s">
        <v>58</v>
      </c>
      <c r="D56" s="16"/>
      <c r="E56" s="16"/>
      <c r="F56" s="16"/>
      <c r="G56" s="16"/>
      <c r="H56" s="16"/>
      <c r="I56" s="16"/>
      <c r="J56" s="55">
        <f>J84</f>
        <v>0</v>
      </c>
      <c r="K56" s="20"/>
      <c r="L56" s="14"/>
    </row>
    <row r="57" spans="1:12" ht="18">
      <c r="A57" s="90"/>
      <c r="B57" s="91"/>
      <c r="C57" s="92"/>
      <c r="D57" s="93" t="s">
        <v>59</v>
      </c>
      <c r="E57" s="94"/>
      <c r="F57" s="94"/>
      <c r="G57" s="94"/>
      <c r="H57" s="94"/>
      <c r="I57" s="94"/>
      <c r="J57" s="95">
        <f>J85</f>
        <v>0</v>
      </c>
      <c r="K57" s="96"/>
      <c r="L57" s="90"/>
    </row>
    <row r="58" spans="1:12" ht="18">
      <c r="A58" s="90"/>
      <c r="B58" s="91"/>
      <c r="C58" s="92"/>
      <c r="D58" s="93" t="s">
        <v>60</v>
      </c>
      <c r="E58" s="94"/>
      <c r="F58" s="94"/>
      <c r="G58" s="94"/>
      <c r="H58" s="94"/>
      <c r="I58" s="94"/>
      <c r="J58" s="95">
        <f>J122</f>
        <v>0</v>
      </c>
      <c r="K58" s="96"/>
      <c r="L58" s="90"/>
    </row>
    <row r="59" spans="1:12" ht="18">
      <c r="A59" s="90"/>
      <c r="B59" s="91"/>
      <c r="C59" s="92"/>
      <c r="D59" s="93" t="s">
        <v>61</v>
      </c>
      <c r="E59" s="94"/>
      <c r="F59" s="94"/>
      <c r="G59" s="94"/>
      <c r="H59" s="94"/>
      <c r="I59" s="94"/>
      <c r="J59" s="95">
        <f>J131</f>
        <v>0</v>
      </c>
      <c r="K59" s="96"/>
      <c r="L59" s="90"/>
    </row>
    <row r="60" spans="1:12" ht="15">
      <c r="A60" s="97"/>
      <c r="B60" s="98"/>
      <c r="C60" s="99"/>
      <c r="D60" s="100" t="s">
        <v>62</v>
      </c>
      <c r="E60" s="101"/>
      <c r="F60" s="101"/>
      <c r="G60" s="101"/>
      <c r="H60" s="101"/>
      <c r="I60" s="101"/>
      <c r="J60" s="102">
        <f>J132</f>
        <v>0</v>
      </c>
      <c r="K60" s="103"/>
      <c r="L60" s="97"/>
    </row>
    <row r="61" spans="1:12" ht="18">
      <c r="A61" s="90"/>
      <c r="B61" s="91"/>
      <c r="C61" s="92"/>
      <c r="D61" s="93" t="s">
        <v>63</v>
      </c>
      <c r="E61" s="94"/>
      <c r="F61" s="94"/>
      <c r="G61" s="94"/>
      <c r="H61" s="94"/>
      <c r="I61" s="94"/>
      <c r="J61" s="95">
        <f>J187</f>
        <v>0</v>
      </c>
      <c r="K61" s="96"/>
      <c r="L61" s="90"/>
    </row>
    <row r="62" spans="1:12" ht="18">
      <c r="A62" s="90"/>
      <c r="B62" s="91"/>
      <c r="C62" s="92"/>
      <c r="D62" s="93" t="s">
        <v>64</v>
      </c>
      <c r="E62" s="94"/>
      <c r="F62" s="94"/>
      <c r="G62" s="94"/>
      <c r="H62" s="94"/>
      <c r="I62" s="94"/>
      <c r="J62" s="95">
        <f>J196</f>
        <v>0</v>
      </c>
      <c r="K62" s="96"/>
      <c r="L62" s="90"/>
    </row>
    <row r="63" spans="1:12" ht="15">
      <c r="A63" s="97"/>
      <c r="B63" s="98"/>
      <c r="C63" s="99"/>
      <c r="D63" s="100" t="s">
        <v>65</v>
      </c>
      <c r="E63" s="101"/>
      <c r="F63" s="101"/>
      <c r="G63" s="101"/>
      <c r="H63" s="101"/>
      <c r="I63" s="101"/>
      <c r="J63" s="102">
        <f>J197</f>
        <v>0</v>
      </c>
      <c r="K63" s="103"/>
      <c r="L63" s="97"/>
    </row>
    <row r="64" spans="1:12" ht="15">
      <c r="A64" s="97"/>
      <c r="B64" s="98"/>
      <c r="C64" s="99"/>
      <c r="D64" s="100" t="s">
        <v>66</v>
      </c>
      <c r="E64" s="101"/>
      <c r="F64" s="101"/>
      <c r="G64" s="101"/>
      <c r="H64" s="101"/>
      <c r="I64" s="101"/>
      <c r="J64" s="102">
        <f>J204</f>
        <v>0</v>
      </c>
      <c r="K64" s="103"/>
      <c r="L64" s="97"/>
    </row>
    <row r="65" spans="1:12" ht="14.25">
      <c r="A65" s="14"/>
      <c r="B65" s="15"/>
      <c r="C65" s="16"/>
      <c r="D65" s="16"/>
      <c r="E65" s="16"/>
      <c r="F65" s="16"/>
      <c r="G65" s="16"/>
      <c r="H65" s="16"/>
      <c r="I65" s="16"/>
      <c r="J65" s="16"/>
      <c r="K65" s="20"/>
      <c r="L65" s="14"/>
    </row>
    <row r="66" spans="1:12" ht="14.25">
      <c r="A66" s="14"/>
      <c r="B66" s="36"/>
      <c r="C66" s="18"/>
      <c r="D66" s="18"/>
      <c r="E66" s="18"/>
      <c r="F66" s="18"/>
      <c r="G66" s="18"/>
      <c r="H66" s="18"/>
      <c r="I66" s="18"/>
      <c r="J66" s="18"/>
      <c r="K66" s="37"/>
      <c r="L66" s="14"/>
    </row>
    <row r="67" spans="1:11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55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6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2" ht="6.75" customHeight="1">
      <c r="A70" s="14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5"/>
    </row>
    <row r="71" spans="1:12" ht="21">
      <c r="A71" s="14"/>
      <c r="B71" s="16"/>
      <c r="C71" s="40" t="s">
        <v>67</v>
      </c>
      <c r="D71" s="14"/>
      <c r="E71" s="14"/>
      <c r="F71" s="14"/>
      <c r="G71" s="14"/>
      <c r="H71" s="14"/>
      <c r="I71" s="14"/>
      <c r="J71" s="14"/>
      <c r="K71" s="14"/>
      <c r="L71" s="15"/>
    </row>
    <row r="72" spans="1:12" ht="7.5" customHeight="1">
      <c r="A72" s="14"/>
      <c r="B72" s="16"/>
      <c r="C72" s="14"/>
      <c r="D72" s="14"/>
      <c r="E72" s="14"/>
      <c r="F72" s="14"/>
      <c r="G72" s="14"/>
      <c r="H72" s="14"/>
      <c r="I72" s="14"/>
      <c r="J72" s="14"/>
      <c r="K72" s="14"/>
      <c r="L72" s="15"/>
    </row>
    <row r="73" spans="1:12" ht="15">
      <c r="A73" s="14"/>
      <c r="B73" s="16"/>
      <c r="C73" s="43" t="s">
        <v>3</v>
      </c>
      <c r="D73" s="14"/>
      <c r="E73" s="14"/>
      <c r="F73" s="14"/>
      <c r="G73" s="14"/>
      <c r="H73" s="14"/>
      <c r="I73" s="14"/>
      <c r="J73" s="14"/>
      <c r="K73" s="14"/>
      <c r="L73" s="15"/>
    </row>
    <row r="74" spans="1:12" ht="15">
      <c r="A74" s="14"/>
      <c r="B74" s="16"/>
      <c r="C74" s="14"/>
      <c r="D74" s="14"/>
      <c r="E74" s="12">
        <f>E7</f>
        <v>0</v>
      </c>
      <c r="F74" s="12"/>
      <c r="G74" s="12"/>
      <c r="H74" s="12"/>
      <c r="I74" s="14"/>
      <c r="J74" s="14"/>
      <c r="K74" s="14"/>
      <c r="L74" s="15"/>
    </row>
    <row r="75" spans="1:12" ht="15">
      <c r="A75" s="14"/>
      <c r="B75" s="16"/>
      <c r="C75" s="43" t="s">
        <v>51</v>
      </c>
      <c r="D75" s="14"/>
      <c r="E75" s="14"/>
      <c r="F75" s="14"/>
      <c r="G75" s="14"/>
      <c r="H75" s="14"/>
      <c r="I75" s="14"/>
      <c r="J75" s="14"/>
      <c r="K75" s="14"/>
      <c r="L75" s="15"/>
    </row>
    <row r="76" spans="1:12" ht="18">
      <c r="A76" s="14"/>
      <c r="B76" s="16"/>
      <c r="C76" s="14"/>
      <c r="D76" s="14"/>
      <c r="E76" s="47" t="str">
        <f>E9</f>
        <v>SO - 01a - Elektromontáže</v>
      </c>
      <c r="F76" s="47"/>
      <c r="G76" s="47"/>
      <c r="H76" s="47"/>
      <c r="I76" s="14"/>
      <c r="J76" s="14"/>
      <c r="K76" s="14"/>
      <c r="L76" s="15"/>
    </row>
    <row r="77" spans="1:12" ht="10.5" customHeight="1">
      <c r="A77" s="14"/>
      <c r="B77" s="16"/>
      <c r="C77" s="14"/>
      <c r="D77" s="14"/>
      <c r="E77" s="14"/>
      <c r="F77" s="14"/>
      <c r="G77" s="14"/>
      <c r="H77" s="14"/>
      <c r="I77" s="14"/>
      <c r="J77" s="14"/>
      <c r="K77" s="14"/>
      <c r="L77" s="15"/>
    </row>
    <row r="78" spans="1:12" ht="15">
      <c r="A78" s="14"/>
      <c r="B78" s="16"/>
      <c r="C78" s="43" t="s">
        <v>7</v>
      </c>
      <c r="D78" s="14"/>
      <c r="E78" s="14"/>
      <c r="F78" s="104" t="str">
        <f>F12</f>
        <v> </v>
      </c>
      <c r="G78" s="14"/>
      <c r="H78" s="14"/>
      <c r="I78" s="43" t="s">
        <v>9</v>
      </c>
      <c r="J78" s="105">
        <v>43580</v>
      </c>
      <c r="K78" s="14"/>
      <c r="L78" s="15"/>
    </row>
    <row r="79" spans="1:12" ht="14.25">
      <c r="A79" s="14"/>
      <c r="B79" s="16"/>
      <c r="C79" s="14"/>
      <c r="D79" s="14"/>
      <c r="E79" s="14"/>
      <c r="F79" s="14"/>
      <c r="G79" s="14"/>
      <c r="H79" s="14"/>
      <c r="I79" s="14"/>
      <c r="J79" s="14"/>
      <c r="K79" s="14"/>
      <c r="L79" s="15"/>
    </row>
    <row r="80" spans="1:12" ht="15">
      <c r="A80" s="14"/>
      <c r="B80" s="16"/>
      <c r="C80" s="43" t="s">
        <v>10</v>
      </c>
      <c r="D80" s="14"/>
      <c r="E80" s="14"/>
      <c r="F80" s="104" t="str">
        <f>E15</f>
        <v>Město Česká Třebová</v>
      </c>
      <c r="G80" s="14"/>
      <c r="H80" s="14"/>
      <c r="I80" s="43" t="s">
        <v>16</v>
      </c>
      <c r="J80" s="104" t="str">
        <f>E21</f>
        <v>ADECO spol. s.r.o. Česká Třebová</v>
      </c>
      <c r="K80" s="14"/>
      <c r="L80" s="15"/>
    </row>
    <row r="81" spans="1:12" ht="15">
      <c r="A81" s="14"/>
      <c r="B81" s="16"/>
      <c r="C81" s="43" t="s">
        <v>14</v>
      </c>
      <c r="D81" s="14"/>
      <c r="E81" s="14"/>
      <c r="F81" s="104">
        <f>IF(E18="","",E18)</f>
      </c>
      <c r="G81" s="14"/>
      <c r="H81" s="14"/>
      <c r="I81" s="14"/>
      <c r="J81" s="14"/>
      <c r="K81" s="14"/>
      <c r="L81" s="15"/>
    </row>
    <row r="82" spans="1:12" ht="9" customHeight="1">
      <c r="A82" s="14"/>
      <c r="B82" s="16"/>
      <c r="C82" s="14"/>
      <c r="D82" s="14"/>
      <c r="E82" s="14"/>
      <c r="F82" s="14"/>
      <c r="G82" s="14"/>
      <c r="H82" s="14"/>
      <c r="I82" s="14"/>
      <c r="J82" s="14"/>
      <c r="K82" s="14"/>
      <c r="L82" s="15"/>
    </row>
    <row r="83" spans="1:12" ht="26.25" customHeight="1">
      <c r="A83" s="106"/>
      <c r="B83" s="107"/>
      <c r="C83" s="108" t="s">
        <v>68</v>
      </c>
      <c r="D83" s="109" t="s">
        <v>37</v>
      </c>
      <c r="E83" s="109" t="s">
        <v>33</v>
      </c>
      <c r="F83" s="109" t="s">
        <v>69</v>
      </c>
      <c r="G83" s="109" t="s">
        <v>70</v>
      </c>
      <c r="H83" s="109" t="s">
        <v>71</v>
      </c>
      <c r="I83" s="110" t="s">
        <v>72</v>
      </c>
      <c r="J83" s="109" t="s">
        <v>57</v>
      </c>
      <c r="K83" s="111" t="s">
        <v>73</v>
      </c>
      <c r="L83" s="112"/>
    </row>
    <row r="84" spans="1:12" ht="18">
      <c r="A84" s="14"/>
      <c r="B84" s="16"/>
      <c r="C84" s="52" t="s">
        <v>58</v>
      </c>
      <c r="D84" s="14"/>
      <c r="E84" s="14"/>
      <c r="F84" s="14"/>
      <c r="G84" s="14"/>
      <c r="H84" s="14"/>
      <c r="I84" s="14"/>
      <c r="J84" s="113">
        <f>(J85+J122+J131+J187+J196)</f>
        <v>0</v>
      </c>
      <c r="K84" s="14"/>
      <c r="L84" s="15"/>
    </row>
    <row r="85" spans="1:12" ht="18">
      <c r="A85" s="114"/>
      <c r="B85" s="115"/>
      <c r="C85" s="114"/>
      <c r="D85" s="116" t="s">
        <v>74</v>
      </c>
      <c r="E85" s="117" t="s">
        <v>75</v>
      </c>
      <c r="F85" s="117" t="s">
        <v>76</v>
      </c>
      <c r="G85" s="114"/>
      <c r="H85" s="114"/>
      <c r="I85" s="114"/>
      <c r="J85" s="118">
        <f>SUM(J86:J120)</f>
        <v>0</v>
      </c>
      <c r="K85" s="114"/>
      <c r="L85" s="119"/>
    </row>
    <row r="86" spans="1:12" ht="14.25">
      <c r="A86" s="14"/>
      <c r="B86" s="120"/>
      <c r="C86" s="121" t="s">
        <v>77</v>
      </c>
      <c r="D86" s="121" t="s">
        <v>78</v>
      </c>
      <c r="E86" s="122" t="s">
        <v>79</v>
      </c>
      <c r="F86" s="123" t="s">
        <v>80</v>
      </c>
      <c r="G86" s="124" t="s">
        <v>81</v>
      </c>
      <c r="H86" s="125">
        <v>0</v>
      </c>
      <c r="I86" s="126">
        <v>0</v>
      </c>
      <c r="J86" s="126">
        <f>ROUND(I86*H86,2)</f>
        <v>0</v>
      </c>
      <c r="K86" s="123"/>
      <c r="L86" s="15"/>
    </row>
    <row r="87" spans="1:12" ht="14.25">
      <c r="A87" s="14"/>
      <c r="B87" s="16"/>
      <c r="C87" s="14"/>
      <c r="D87" s="127" t="s">
        <v>82</v>
      </c>
      <c r="E87" s="14"/>
      <c r="F87" s="128" t="s">
        <v>80</v>
      </c>
      <c r="G87" s="14"/>
      <c r="H87" s="14"/>
      <c r="I87" s="14"/>
      <c r="J87" s="14"/>
      <c r="K87" s="14"/>
      <c r="L87" s="15"/>
    </row>
    <row r="88" spans="1:12" ht="14.25">
      <c r="A88" s="14"/>
      <c r="B88" s="120"/>
      <c r="C88" s="121" t="s">
        <v>83</v>
      </c>
      <c r="D88" s="121" t="s">
        <v>78</v>
      </c>
      <c r="E88" s="122" t="s">
        <v>84</v>
      </c>
      <c r="F88" s="123" t="s">
        <v>85</v>
      </c>
      <c r="G88" s="124" t="s">
        <v>86</v>
      </c>
      <c r="H88" s="125">
        <v>0</v>
      </c>
      <c r="I88" s="126">
        <v>0</v>
      </c>
      <c r="J88" s="126">
        <f>ROUND(I88*H88,2)</f>
        <v>0</v>
      </c>
      <c r="K88" s="123"/>
      <c r="L88" s="15"/>
    </row>
    <row r="89" spans="1:12" ht="14.25">
      <c r="A89" s="14"/>
      <c r="B89" s="16"/>
      <c r="C89" s="14"/>
      <c r="D89" s="127" t="s">
        <v>82</v>
      </c>
      <c r="E89" s="14"/>
      <c r="F89" s="128" t="s">
        <v>85</v>
      </c>
      <c r="G89" s="14"/>
      <c r="H89" s="14"/>
      <c r="I89" s="14"/>
      <c r="J89" s="14"/>
      <c r="K89" s="14"/>
      <c r="L89" s="15"/>
    </row>
    <row r="90" spans="1:12" ht="14.25">
      <c r="A90" s="14"/>
      <c r="B90" s="120"/>
      <c r="C90" s="121" t="s">
        <v>87</v>
      </c>
      <c r="D90" s="121" t="s">
        <v>78</v>
      </c>
      <c r="E90" s="122" t="s">
        <v>88</v>
      </c>
      <c r="F90" s="123" t="s">
        <v>89</v>
      </c>
      <c r="G90" s="124" t="s">
        <v>86</v>
      </c>
      <c r="H90" s="125">
        <v>2482</v>
      </c>
      <c r="I90" s="126">
        <v>0</v>
      </c>
      <c r="J90" s="126">
        <f>ROUND(I90*H90,2)</f>
        <v>0</v>
      </c>
      <c r="K90" s="123"/>
      <c r="L90" s="15"/>
    </row>
    <row r="91" spans="1:12" ht="14.25">
      <c r="A91" s="14"/>
      <c r="B91" s="16"/>
      <c r="C91" s="14"/>
      <c r="D91" s="127" t="s">
        <v>82</v>
      </c>
      <c r="E91" s="14"/>
      <c r="F91" s="128" t="s">
        <v>89</v>
      </c>
      <c r="G91" s="14"/>
      <c r="H91" s="14"/>
      <c r="I91" s="14"/>
      <c r="J91" s="14"/>
      <c r="K91" s="14"/>
      <c r="L91" s="15"/>
    </row>
    <row r="92" spans="1:12" ht="14.25">
      <c r="A92" s="14"/>
      <c r="B92" s="120"/>
      <c r="C92" s="121" t="s">
        <v>90</v>
      </c>
      <c r="D92" s="121" t="s">
        <v>78</v>
      </c>
      <c r="E92" s="122" t="s">
        <v>91</v>
      </c>
      <c r="F92" s="123" t="s">
        <v>92</v>
      </c>
      <c r="G92" s="124" t="s">
        <v>81</v>
      </c>
      <c r="H92" s="125">
        <v>0</v>
      </c>
      <c r="I92" s="126">
        <v>0</v>
      </c>
      <c r="J92" s="126">
        <f>ROUND(I92*H92,2)</f>
        <v>0</v>
      </c>
      <c r="K92" s="123"/>
      <c r="L92" s="15"/>
    </row>
    <row r="93" spans="1:12" ht="14.25">
      <c r="A93" s="14"/>
      <c r="B93" s="16"/>
      <c r="C93" s="14"/>
      <c r="D93" s="127" t="s">
        <v>82</v>
      </c>
      <c r="E93" s="14"/>
      <c r="F93" s="128" t="s">
        <v>92</v>
      </c>
      <c r="G93" s="14"/>
      <c r="H93" s="14"/>
      <c r="I93" s="14"/>
      <c r="J93" s="14"/>
      <c r="K93" s="14"/>
      <c r="L93" s="15"/>
    </row>
    <row r="94" spans="1:12" ht="14.25">
      <c r="A94" s="14"/>
      <c r="B94" s="120"/>
      <c r="C94" s="121" t="s">
        <v>93</v>
      </c>
      <c r="D94" s="121" t="s">
        <v>78</v>
      </c>
      <c r="E94" s="122" t="s">
        <v>94</v>
      </c>
      <c r="F94" s="123" t="s">
        <v>95</v>
      </c>
      <c r="G94" s="124" t="s">
        <v>86</v>
      </c>
      <c r="H94" s="125">
        <v>2482</v>
      </c>
      <c r="I94" s="126">
        <v>0</v>
      </c>
      <c r="J94" s="126">
        <f>ROUND(I94*H94,2)</f>
        <v>0</v>
      </c>
      <c r="K94" s="123"/>
      <c r="L94" s="15"/>
    </row>
    <row r="95" spans="1:12" ht="14.25">
      <c r="A95" s="14"/>
      <c r="B95" s="16"/>
      <c r="C95" s="14"/>
      <c r="D95" s="127" t="s">
        <v>82</v>
      </c>
      <c r="E95" s="14"/>
      <c r="F95" s="128" t="s">
        <v>95</v>
      </c>
      <c r="G95" s="14"/>
      <c r="H95" s="14"/>
      <c r="I95" s="14"/>
      <c r="J95" s="14"/>
      <c r="K95" s="14"/>
      <c r="L95" s="15"/>
    </row>
    <row r="96" spans="1:12" ht="14.25">
      <c r="A96" s="14"/>
      <c r="B96" s="120"/>
      <c r="C96" s="121" t="s">
        <v>96</v>
      </c>
      <c r="D96" s="121" t="s">
        <v>78</v>
      </c>
      <c r="E96" s="122" t="s">
        <v>97</v>
      </c>
      <c r="F96" s="123" t="s">
        <v>98</v>
      </c>
      <c r="G96" s="124" t="s">
        <v>86</v>
      </c>
      <c r="H96" s="125">
        <v>0</v>
      </c>
      <c r="I96" s="126">
        <v>0</v>
      </c>
      <c r="J96" s="126">
        <f>ROUND(I96*H96,2)</f>
        <v>0</v>
      </c>
      <c r="K96" s="123"/>
      <c r="L96" s="15"/>
    </row>
    <row r="97" spans="1:12" ht="14.25">
      <c r="A97" s="14"/>
      <c r="B97" s="16"/>
      <c r="C97" s="14"/>
      <c r="D97" s="127" t="s">
        <v>82</v>
      </c>
      <c r="E97" s="14"/>
      <c r="F97" s="128" t="s">
        <v>98</v>
      </c>
      <c r="G97" s="14"/>
      <c r="H97" s="14"/>
      <c r="I97" s="14"/>
      <c r="J97" s="14"/>
      <c r="K97" s="14"/>
      <c r="L97" s="15"/>
    </row>
    <row r="98" spans="1:12" ht="14.25">
      <c r="A98" s="14"/>
      <c r="B98" s="120"/>
      <c r="C98" s="121" t="s">
        <v>99</v>
      </c>
      <c r="D98" s="121" t="s">
        <v>78</v>
      </c>
      <c r="E98" s="122" t="s">
        <v>100</v>
      </c>
      <c r="F98" s="123" t="s">
        <v>101</v>
      </c>
      <c r="G98" s="124" t="s">
        <v>81</v>
      </c>
      <c r="H98" s="125">
        <v>0</v>
      </c>
      <c r="I98" s="126">
        <v>0</v>
      </c>
      <c r="J98" s="126">
        <f>ROUND(I98*H98,2)</f>
        <v>0</v>
      </c>
      <c r="K98" s="123"/>
      <c r="L98" s="15"/>
    </row>
    <row r="99" spans="1:12" ht="14.25">
      <c r="A99" s="14"/>
      <c r="B99" s="16"/>
      <c r="C99" s="14"/>
      <c r="D99" s="127" t="s">
        <v>82</v>
      </c>
      <c r="E99" s="14"/>
      <c r="F99" s="128" t="s">
        <v>101</v>
      </c>
      <c r="G99" s="14"/>
      <c r="H99" s="14"/>
      <c r="I99" s="14"/>
      <c r="J99" s="14"/>
      <c r="K99" s="14"/>
      <c r="L99" s="15"/>
    </row>
    <row r="100" spans="1:12" ht="14.25">
      <c r="A100" s="14"/>
      <c r="B100" s="120"/>
      <c r="C100" s="121" t="s">
        <v>102</v>
      </c>
      <c r="D100" s="121" t="s">
        <v>78</v>
      </c>
      <c r="E100" s="122" t="s">
        <v>103</v>
      </c>
      <c r="F100" s="123" t="s">
        <v>104</v>
      </c>
      <c r="G100" s="124" t="s">
        <v>81</v>
      </c>
      <c r="H100" s="125">
        <v>0</v>
      </c>
      <c r="I100" s="126">
        <v>0</v>
      </c>
      <c r="J100" s="126">
        <f>ROUND(I100*H100,2)</f>
        <v>0</v>
      </c>
      <c r="K100" s="123"/>
      <c r="L100" s="15"/>
    </row>
    <row r="101" spans="1:12" ht="14.25">
      <c r="A101" s="14"/>
      <c r="B101" s="16"/>
      <c r="C101" s="14"/>
      <c r="D101" s="127" t="s">
        <v>82</v>
      </c>
      <c r="E101" s="14"/>
      <c r="F101" s="128" t="s">
        <v>104</v>
      </c>
      <c r="G101" s="14"/>
      <c r="H101" s="14"/>
      <c r="I101" s="14"/>
      <c r="J101" s="14"/>
      <c r="K101" s="14"/>
      <c r="L101" s="15"/>
    </row>
    <row r="102" spans="1:12" ht="14.25">
      <c r="A102" s="14"/>
      <c r="B102" s="120"/>
      <c r="C102" s="121" t="s">
        <v>105</v>
      </c>
      <c r="D102" s="121" t="s">
        <v>78</v>
      </c>
      <c r="E102" s="122" t="s">
        <v>106</v>
      </c>
      <c r="F102" s="123" t="s">
        <v>107</v>
      </c>
      <c r="G102" s="124" t="s">
        <v>81</v>
      </c>
      <c r="H102" s="125">
        <v>0</v>
      </c>
      <c r="I102" s="126">
        <v>0</v>
      </c>
      <c r="J102" s="126">
        <f>ROUND(I102*H102,2)</f>
        <v>0</v>
      </c>
      <c r="K102" s="123"/>
      <c r="L102" s="15"/>
    </row>
    <row r="103" spans="1:12" ht="14.25">
      <c r="A103" s="14"/>
      <c r="B103" s="16"/>
      <c r="C103" s="14"/>
      <c r="D103" s="127" t="s">
        <v>82</v>
      </c>
      <c r="E103" s="14"/>
      <c r="F103" s="128" t="s">
        <v>107</v>
      </c>
      <c r="G103" s="14"/>
      <c r="H103" s="14"/>
      <c r="I103" s="14"/>
      <c r="J103" s="14"/>
      <c r="K103" s="14"/>
      <c r="L103" s="15"/>
    </row>
    <row r="104" spans="1:12" ht="14.25">
      <c r="A104" s="14"/>
      <c r="B104" s="120"/>
      <c r="C104" s="121" t="s">
        <v>108</v>
      </c>
      <c r="D104" s="121" t="s">
        <v>78</v>
      </c>
      <c r="E104" s="122" t="s">
        <v>109</v>
      </c>
      <c r="F104" s="123" t="s">
        <v>110</v>
      </c>
      <c r="G104" s="124" t="s">
        <v>86</v>
      </c>
      <c r="H104" s="125">
        <v>2220</v>
      </c>
      <c r="I104" s="126">
        <v>0</v>
      </c>
      <c r="J104" s="126">
        <f>ROUND(I104*H104,2)</f>
        <v>0</v>
      </c>
      <c r="K104" s="123"/>
      <c r="L104" s="15"/>
    </row>
    <row r="105" spans="1:12" ht="14.25">
      <c r="A105" s="14"/>
      <c r="B105" s="16"/>
      <c r="C105" s="14"/>
      <c r="D105" s="127" t="s">
        <v>82</v>
      </c>
      <c r="E105" s="14"/>
      <c r="F105" s="128" t="s">
        <v>110</v>
      </c>
      <c r="G105" s="14"/>
      <c r="H105" s="14"/>
      <c r="I105" s="14"/>
      <c r="J105" s="14"/>
      <c r="K105" s="14"/>
      <c r="L105" s="15"/>
    </row>
    <row r="106" spans="1:12" ht="14.25">
      <c r="A106" s="14"/>
      <c r="B106" s="120"/>
      <c r="C106" s="121" t="s">
        <v>111</v>
      </c>
      <c r="D106" s="121" t="s">
        <v>78</v>
      </c>
      <c r="E106" s="122" t="s">
        <v>112</v>
      </c>
      <c r="F106" s="123" t="s">
        <v>113</v>
      </c>
      <c r="G106" s="124" t="s">
        <v>81</v>
      </c>
      <c r="H106" s="125">
        <v>62</v>
      </c>
      <c r="I106" s="126">
        <v>0</v>
      </c>
      <c r="J106" s="126">
        <f>ROUND(I106*H106,2)</f>
        <v>0</v>
      </c>
      <c r="K106" s="123"/>
      <c r="L106" s="15"/>
    </row>
    <row r="107" spans="1:12" ht="14.25">
      <c r="A107" s="14"/>
      <c r="B107" s="16"/>
      <c r="C107" s="14"/>
      <c r="D107" s="127" t="s">
        <v>82</v>
      </c>
      <c r="E107" s="14"/>
      <c r="F107" s="128" t="s">
        <v>113</v>
      </c>
      <c r="G107" s="14"/>
      <c r="H107" s="14"/>
      <c r="I107" s="14"/>
      <c r="J107" s="14"/>
      <c r="K107" s="14"/>
      <c r="L107" s="15"/>
    </row>
    <row r="108" spans="1:12" ht="14.25">
      <c r="A108" s="14"/>
      <c r="B108" s="120"/>
      <c r="C108" s="121" t="s">
        <v>114</v>
      </c>
      <c r="D108" s="121" t="s">
        <v>78</v>
      </c>
      <c r="E108" s="122" t="s">
        <v>115</v>
      </c>
      <c r="F108" s="123" t="s">
        <v>116</v>
      </c>
      <c r="G108" s="124" t="s">
        <v>86</v>
      </c>
      <c r="H108" s="125">
        <v>30</v>
      </c>
      <c r="I108" s="126">
        <v>0</v>
      </c>
      <c r="J108" s="126">
        <f>ROUND(I108*H108,2)</f>
        <v>0</v>
      </c>
      <c r="K108" s="123"/>
      <c r="L108" s="15"/>
    </row>
    <row r="109" spans="1:12" ht="14.25">
      <c r="A109" s="14"/>
      <c r="B109" s="16"/>
      <c r="C109" s="14"/>
      <c r="D109" s="127" t="s">
        <v>82</v>
      </c>
      <c r="E109" s="14"/>
      <c r="F109" s="128" t="s">
        <v>116</v>
      </c>
      <c r="G109" s="14"/>
      <c r="H109" s="14"/>
      <c r="I109" s="14"/>
      <c r="J109" s="14"/>
      <c r="K109" s="14"/>
      <c r="L109" s="15"/>
    </row>
    <row r="110" spans="1:12" ht="14.25">
      <c r="A110" s="14"/>
      <c r="B110" s="120"/>
      <c r="C110" s="121" t="s">
        <v>117</v>
      </c>
      <c r="D110" s="121" t="s">
        <v>78</v>
      </c>
      <c r="E110" s="122" t="s">
        <v>118</v>
      </c>
      <c r="F110" s="123" t="s">
        <v>119</v>
      </c>
      <c r="G110" s="124" t="s">
        <v>81</v>
      </c>
      <c r="H110" s="125">
        <v>3</v>
      </c>
      <c r="I110" s="126">
        <v>0</v>
      </c>
      <c r="J110" s="126">
        <f>ROUND(I110*H110,2)</f>
        <v>0</v>
      </c>
      <c r="K110" s="123"/>
      <c r="L110" s="15"/>
    </row>
    <row r="111" spans="1:12" ht="14.25">
      <c r="A111" s="14"/>
      <c r="B111" s="16"/>
      <c r="C111" s="14"/>
      <c r="D111" s="127" t="s">
        <v>82</v>
      </c>
      <c r="E111" s="14"/>
      <c r="F111" s="128" t="s">
        <v>119</v>
      </c>
      <c r="G111" s="14"/>
      <c r="H111" s="14"/>
      <c r="I111" s="14"/>
      <c r="J111" s="14"/>
      <c r="K111" s="14"/>
      <c r="L111" s="15"/>
    </row>
    <row r="112" spans="1:12" ht="14.25">
      <c r="A112" s="14"/>
      <c r="B112" s="120"/>
      <c r="C112" s="121" t="s">
        <v>120</v>
      </c>
      <c r="D112" s="121" t="s">
        <v>78</v>
      </c>
      <c r="E112" s="122" t="s">
        <v>121</v>
      </c>
      <c r="F112" s="123" t="s">
        <v>122</v>
      </c>
      <c r="G112" s="124" t="s">
        <v>81</v>
      </c>
      <c r="H112" s="125">
        <v>0</v>
      </c>
      <c r="I112" s="126">
        <v>0</v>
      </c>
      <c r="J112" s="126">
        <f>ROUND(I112*H112,2)</f>
        <v>0</v>
      </c>
      <c r="K112" s="123"/>
      <c r="L112" s="15"/>
    </row>
    <row r="113" spans="1:12" ht="14.25">
      <c r="A113" s="14"/>
      <c r="B113" s="16"/>
      <c r="C113" s="14"/>
      <c r="D113" s="127" t="s">
        <v>82</v>
      </c>
      <c r="E113" s="14"/>
      <c r="F113" s="128" t="s">
        <v>123</v>
      </c>
      <c r="G113" s="14"/>
      <c r="H113" s="14"/>
      <c r="I113" s="14"/>
      <c r="J113" s="14"/>
      <c r="K113" s="14"/>
      <c r="L113" s="15"/>
    </row>
    <row r="114" spans="1:12" ht="14.25">
      <c r="A114" s="14"/>
      <c r="B114" s="120"/>
      <c r="C114" s="121" t="s">
        <v>124</v>
      </c>
      <c r="D114" s="121" t="s">
        <v>78</v>
      </c>
      <c r="E114" s="122" t="s">
        <v>125</v>
      </c>
      <c r="F114" s="123" t="s">
        <v>126</v>
      </c>
      <c r="G114" s="124" t="s">
        <v>81</v>
      </c>
      <c r="H114" s="125">
        <v>0</v>
      </c>
      <c r="I114" s="126">
        <v>0</v>
      </c>
      <c r="J114" s="126">
        <f>ROUND(I114*H114,2)</f>
        <v>0</v>
      </c>
      <c r="K114" s="123"/>
      <c r="L114" s="15"/>
    </row>
    <row r="115" spans="1:12" ht="14.25">
      <c r="A115" s="14"/>
      <c r="B115" s="16"/>
      <c r="C115" s="14"/>
      <c r="D115" s="127" t="s">
        <v>82</v>
      </c>
      <c r="E115" s="14"/>
      <c r="F115" s="128" t="s">
        <v>126</v>
      </c>
      <c r="G115" s="14"/>
      <c r="H115" s="14"/>
      <c r="I115" s="14"/>
      <c r="J115" s="14"/>
      <c r="K115" s="14"/>
      <c r="L115" s="15"/>
    </row>
    <row r="116" spans="1:12" ht="14.25">
      <c r="A116" s="14"/>
      <c r="B116" s="120"/>
      <c r="C116" s="121" t="s">
        <v>127</v>
      </c>
      <c r="D116" s="121" t="s">
        <v>78</v>
      </c>
      <c r="E116" s="122" t="s">
        <v>128</v>
      </c>
      <c r="F116" s="123" t="s">
        <v>129</v>
      </c>
      <c r="G116" s="124" t="s">
        <v>81</v>
      </c>
      <c r="H116" s="125">
        <v>0</v>
      </c>
      <c r="I116" s="126">
        <v>0</v>
      </c>
      <c r="J116" s="126">
        <f>ROUND(I116*H116,2)</f>
        <v>0</v>
      </c>
      <c r="K116" s="123"/>
      <c r="L116" s="15"/>
    </row>
    <row r="117" spans="1:12" ht="14.25">
      <c r="A117" s="14"/>
      <c r="B117" s="16"/>
      <c r="C117" s="14"/>
      <c r="D117" s="129" t="s">
        <v>82</v>
      </c>
      <c r="E117" s="14"/>
      <c r="F117" s="130" t="s">
        <v>129</v>
      </c>
      <c r="G117" s="14"/>
      <c r="H117" s="14"/>
      <c r="I117" s="14"/>
      <c r="J117" s="14"/>
      <c r="K117" s="14"/>
      <c r="L117" s="15"/>
    </row>
    <row r="118" spans="1:12" ht="14.25">
      <c r="A118" s="14"/>
      <c r="B118" s="120"/>
      <c r="C118" s="121" t="s">
        <v>130</v>
      </c>
      <c r="D118" s="121" t="s">
        <v>78</v>
      </c>
      <c r="E118" s="122" t="s">
        <v>131</v>
      </c>
      <c r="F118" s="123" t="s">
        <v>132</v>
      </c>
      <c r="G118" s="124" t="s">
        <v>81</v>
      </c>
      <c r="H118" s="125">
        <v>0</v>
      </c>
      <c r="I118" s="126">
        <v>0</v>
      </c>
      <c r="J118" s="126">
        <f>ROUND(I118*H118,2)</f>
        <v>0</v>
      </c>
      <c r="K118" s="123"/>
      <c r="L118" s="15"/>
    </row>
    <row r="119" spans="1:12" ht="14.25">
      <c r="A119" s="14"/>
      <c r="B119" s="16"/>
      <c r="C119" s="14"/>
      <c r="D119" s="127" t="s">
        <v>82</v>
      </c>
      <c r="E119" s="14"/>
      <c r="F119" s="128" t="s">
        <v>133</v>
      </c>
      <c r="G119" s="14"/>
      <c r="H119" s="14"/>
      <c r="I119" s="14"/>
      <c r="J119" s="14"/>
      <c r="K119" s="14"/>
      <c r="L119" s="15"/>
    </row>
    <row r="120" spans="1:12" ht="14.25">
      <c r="A120" s="14"/>
      <c r="B120" s="120"/>
      <c r="C120" s="121" t="s">
        <v>134</v>
      </c>
      <c r="D120" s="121" t="s">
        <v>78</v>
      </c>
      <c r="E120" s="122" t="s">
        <v>135</v>
      </c>
      <c r="F120" s="123" t="s">
        <v>136</v>
      </c>
      <c r="G120" s="124" t="s">
        <v>86</v>
      </c>
      <c r="H120" s="125">
        <v>30</v>
      </c>
      <c r="I120" s="126">
        <v>0</v>
      </c>
      <c r="J120" s="126">
        <f>ROUND(I120*H120,2)</f>
        <v>0</v>
      </c>
      <c r="K120" s="123"/>
      <c r="L120" s="15"/>
    </row>
    <row r="121" spans="1:12" ht="14.25">
      <c r="A121" s="14"/>
      <c r="B121" s="16"/>
      <c r="C121" s="14"/>
      <c r="D121" s="131" t="s">
        <v>82</v>
      </c>
      <c r="E121" s="14"/>
      <c r="F121" s="132" t="s">
        <v>136</v>
      </c>
      <c r="G121" s="14"/>
      <c r="H121" s="14"/>
      <c r="I121" s="14"/>
      <c r="J121" s="14"/>
      <c r="K121" s="14"/>
      <c r="L121" s="15"/>
    </row>
    <row r="122" spans="1:12" ht="33" customHeight="1">
      <c r="A122" s="114"/>
      <c r="B122" s="115"/>
      <c r="C122" s="114"/>
      <c r="D122" s="116" t="s">
        <v>74</v>
      </c>
      <c r="E122" s="117" t="s">
        <v>137</v>
      </c>
      <c r="F122" s="117" t="s">
        <v>138</v>
      </c>
      <c r="G122" s="114"/>
      <c r="H122" s="114"/>
      <c r="I122" s="114"/>
      <c r="J122" s="118">
        <f>SUM(J123:J130)</f>
        <v>0</v>
      </c>
      <c r="K122" s="114"/>
      <c r="L122" s="119"/>
    </row>
    <row r="123" spans="1:12" ht="14.25">
      <c r="A123" s="14"/>
      <c r="B123" s="120"/>
      <c r="C123" s="121" t="s">
        <v>139</v>
      </c>
      <c r="D123" s="121" t="s">
        <v>78</v>
      </c>
      <c r="E123" s="122" t="s">
        <v>140</v>
      </c>
      <c r="F123" s="123" t="s">
        <v>141</v>
      </c>
      <c r="G123" s="124" t="s">
        <v>81</v>
      </c>
      <c r="H123" s="125">
        <v>20</v>
      </c>
      <c r="I123" s="126">
        <v>0</v>
      </c>
      <c r="J123" s="126">
        <f>ROUND(I123*H123,2)</f>
        <v>0</v>
      </c>
      <c r="K123" s="123"/>
      <c r="L123" s="16"/>
    </row>
    <row r="124" spans="1:12" ht="14.25">
      <c r="A124" s="14"/>
      <c r="B124" s="16"/>
      <c r="C124" s="14"/>
      <c r="D124" s="133" t="s">
        <v>82</v>
      </c>
      <c r="E124" s="14"/>
      <c r="F124" s="134" t="s">
        <v>141</v>
      </c>
      <c r="G124" s="14"/>
      <c r="H124" s="14"/>
      <c r="I124" s="14"/>
      <c r="J124" s="14"/>
      <c r="K124" s="14"/>
      <c r="L124" s="16"/>
    </row>
    <row r="125" spans="1:12" s="135" customFormat="1" ht="13.5">
      <c r="A125" s="14"/>
      <c r="B125" s="120"/>
      <c r="C125" s="121" t="s">
        <v>142</v>
      </c>
      <c r="D125" s="121" t="s">
        <v>78</v>
      </c>
      <c r="E125" s="122" t="s">
        <v>143</v>
      </c>
      <c r="F125" s="123" t="s">
        <v>144</v>
      </c>
      <c r="G125" s="124" t="s">
        <v>81</v>
      </c>
      <c r="H125" s="125">
        <v>10</v>
      </c>
      <c r="I125" s="126">
        <v>0</v>
      </c>
      <c r="J125" s="126">
        <f aca="true" t="shared" si="0" ref="J125:J130">ROUND(I125*H125,2)</f>
        <v>0</v>
      </c>
      <c r="K125" s="123"/>
      <c r="L125" s="16"/>
    </row>
    <row r="126" spans="1:12" s="135" customFormat="1" ht="13.5">
      <c r="A126" s="14"/>
      <c r="B126" s="120"/>
      <c r="C126" s="121">
        <v>22</v>
      </c>
      <c r="D126" s="121" t="s">
        <v>78</v>
      </c>
      <c r="E126" s="122" t="s">
        <v>145</v>
      </c>
      <c r="F126" s="123" t="s">
        <v>126</v>
      </c>
      <c r="G126" s="124" t="s">
        <v>81</v>
      </c>
      <c r="H126" s="125">
        <v>2</v>
      </c>
      <c r="I126" s="126">
        <v>0</v>
      </c>
      <c r="J126" s="126">
        <f t="shared" si="0"/>
        <v>0</v>
      </c>
      <c r="K126" s="123"/>
      <c r="L126" s="16"/>
    </row>
    <row r="127" spans="1:12" ht="14.25">
      <c r="A127" s="14"/>
      <c r="B127" s="120"/>
      <c r="C127" s="121" t="s">
        <v>146</v>
      </c>
      <c r="D127" s="121" t="s">
        <v>78</v>
      </c>
      <c r="E127" s="122" t="s">
        <v>147</v>
      </c>
      <c r="F127" s="123" t="s">
        <v>148</v>
      </c>
      <c r="G127" s="124" t="s">
        <v>81</v>
      </c>
      <c r="H127" s="125">
        <v>3</v>
      </c>
      <c r="I127" s="126">
        <v>0</v>
      </c>
      <c r="J127" s="126">
        <f t="shared" si="0"/>
        <v>0</v>
      </c>
      <c r="K127" s="123"/>
      <c r="L127" s="15"/>
    </row>
    <row r="128" spans="1:12" ht="14.25">
      <c r="A128" s="14"/>
      <c r="B128" s="120"/>
      <c r="C128" s="121" t="s">
        <v>149</v>
      </c>
      <c r="D128" s="121" t="s">
        <v>78</v>
      </c>
      <c r="E128" s="122" t="s">
        <v>150</v>
      </c>
      <c r="F128" s="123" t="s">
        <v>129</v>
      </c>
      <c r="G128" s="124" t="s">
        <v>81</v>
      </c>
      <c r="H128" s="125">
        <v>2</v>
      </c>
      <c r="I128" s="126">
        <v>0</v>
      </c>
      <c r="J128" s="126">
        <f t="shared" si="0"/>
        <v>0</v>
      </c>
      <c r="K128" s="123"/>
      <c r="L128" s="15"/>
    </row>
    <row r="129" spans="1:12" ht="14.25">
      <c r="A129" s="14"/>
      <c r="B129" s="120"/>
      <c r="C129" s="121">
        <v>25</v>
      </c>
      <c r="D129" s="121" t="s">
        <v>78</v>
      </c>
      <c r="E129" s="122" t="s">
        <v>151</v>
      </c>
      <c r="F129" s="123" t="s">
        <v>132</v>
      </c>
      <c r="G129" s="124" t="s">
        <v>81</v>
      </c>
      <c r="H129" s="125">
        <v>5</v>
      </c>
      <c r="I129" s="126">
        <v>0</v>
      </c>
      <c r="J129" s="126">
        <f t="shared" si="0"/>
        <v>0</v>
      </c>
      <c r="K129" s="123"/>
      <c r="L129" s="15"/>
    </row>
    <row r="130" spans="1:12" ht="14.25">
      <c r="A130" s="14"/>
      <c r="B130" s="120"/>
      <c r="C130" s="121">
        <v>26</v>
      </c>
      <c r="D130" s="121" t="s">
        <v>78</v>
      </c>
      <c r="E130" s="122" t="s">
        <v>152</v>
      </c>
      <c r="F130" s="123" t="s">
        <v>153</v>
      </c>
      <c r="G130" s="124" t="s">
        <v>86</v>
      </c>
      <c r="H130" s="125">
        <v>1200</v>
      </c>
      <c r="I130" s="126">
        <v>0</v>
      </c>
      <c r="J130" s="126">
        <f t="shared" si="0"/>
        <v>0</v>
      </c>
      <c r="K130" s="123"/>
      <c r="L130" s="16"/>
    </row>
    <row r="131" spans="1:12" ht="33" customHeight="1">
      <c r="A131" s="114"/>
      <c r="B131" s="115"/>
      <c r="C131" s="114"/>
      <c r="D131" s="136" t="s">
        <v>74</v>
      </c>
      <c r="E131" s="137" t="s">
        <v>154</v>
      </c>
      <c r="F131" s="137" t="s">
        <v>154</v>
      </c>
      <c r="G131" s="114"/>
      <c r="H131" s="114"/>
      <c r="I131" s="114"/>
      <c r="J131" s="138">
        <f>J132</f>
        <v>0</v>
      </c>
      <c r="K131" s="114"/>
      <c r="L131" s="119"/>
    </row>
    <row r="132" spans="1:12" ht="17.25" customHeight="1">
      <c r="A132" s="114"/>
      <c r="B132" s="115"/>
      <c r="C132" s="114"/>
      <c r="D132" s="116" t="s">
        <v>74</v>
      </c>
      <c r="E132" s="139" t="s">
        <v>155</v>
      </c>
      <c r="F132" s="139" t="s">
        <v>156</v>
      </c>
      <c r="G132" s="114"/>
      <c r="H132" s="114"/>
      <c r="I132" s="114"/>
      <c r="J132" s="140">
        <f>SUM(J133:J186)</f>
        <v>0</v>
      </c>
      <c r="K132" s="114"/>
      <c r="L132" s="119"/>
    </row>
    <row r="133" spans="1:12" ht="21" customHeight="1">
      <c r="A133" s="14"/>
      <c r="B133" s="120"/>
      <c r="C133" s="121">
        <v>30</v>
      </c>
      <c r="D133" s="121" t="s">
        <v>78</v>
      </c>
      <c r="E133" s="122" t="s">
        <v>157</v>
      </c>
      <c r="F133" s="123" t="s">
        <v>158</v>
      </c>
      <c r="G133" s="124" t="s">
        <v>81</v>
      </c>
      <c r="H133" s="125">
        <v>0</v>
      </c>
      <c r="I133" s="126">
        <v>0</v>
      </c>
      <c r="J133" s="126">
        <f>ROUND(I133*H133,2)</f>
        <v>0</v>
      </c>
      <c r="K133" s="123"/>
      <c r="L133" s="15"/>
    </row>
    <row r="134" spans="1:12" ht="19.5">
      <c r="A134" s="14"/>
      <c r="B134" s="16"/>
      <c r="C134" s="14"/>
      <c r="D134" s="133" t="s">
        <v>82</v>
      </c>
      <c r="E134" s="14"/>
      <c r="F134" s="134" t="s">
        <v>159</v>
      </c>
      <c r="G134" s="14"/>
      <c r="H134" s="14"/>
      <c r="I134" s="14"/>
      <c r="K134" s="14"/>
      <c r="L134" s="15"/>
    </row>
    <row r="135" spans="1:12" ht="33.75" customHeight="1">
      <c r="A135" s="14"/>
      <c r="B135" s="16"/>
      <c r="C135" s="14"/>
      <c r="D135" s="129" t="s">
        <v>160</v>
      </c>
      <c r="E135" s="14"/>
      <c r="F135" s="141" t="s">
        <v>161</v>
      </c>
      <c r="G135" s="14"/>
      <c r="H135" s="14"/>
      <c r="I135" s="14"/>
      <c r="J135" s="14"/>
      <c r="K135" s="14"/>
      <c r="L135" s="15"/>
    </row>
    <row r="136" spans="1:12" ht="21" customHeight="1">
      <c r="A136" s="14"/>
      <c r="B136" s="120"/>
      <c r="C136" s="121">
        <v>31</v>
      </c>
      <c r="D136" s="121" t="s">
        <v>78</v>
      </c>
      <c r="E136" s="122" t="s">
        <v>147</v>
      </c>
      <c r="F136" s="123" t="s">
        <v>162</v>
      </c>
      <c r="G136" s="124" t="s">
        <v>81</v>
      </c>
      <c r="H136" s="142">
        <v>0</v>
      </c>
      <c r="I136" s="126">
        <v>0</v>
      </c>
      <c r="J136" s="126">
        <f>ROUND(I136*H136,2)</f>
        <v>0</v>
      </c>
      <c r="K136" s="123"/>
      <c r="L136" s="15"/>
    </row>
    <row r="137" spans="1:12" ht="18" customHeight="1">
      <c r="A137" s="14"/>
      <c r="B137" s="16"/>
      <c r="C137" s="14"/>
      <c r="D137" s="133" t="s">
        <v>82</v>
      </c>
      <c r="E137" s="14"/>
      <c r="F137" s="134" t="s">
        <v>163</v>
      </c>
      <c r="G137" s="14"/>
      <c r="H137" s="14"/>
      <c r="I137" s="14"/>
      <c r="K137" s="14"/>
      <c r="L137" s="15"/>
    </row>
    <row r="138" spans="1:12" ht="33.75" customHeight="1">
      <c r="A138" s="14"/>
      <c r="B138" s="16"/>
      <c r="C138" s="14"/>
      <c r="D138" s="129" t="s">
        <v>160</v>
      </c>
      <c r="E138" s="14"/>
      <c r="F138" s="141" t="s">
        <v>164</v>
      </c>
      <c r="G138" s="14"/>
      <c r="H138" s="14"/>
      <c r="I138" s="14"/>
      <c r="J138" s="14"/>
      <c r="K138" s="14"/>
      <c r="L138" s="15"/>
    </row>
    <row r="139" spans="1:12" ht="14.25">
      <c r="A139" s="14"/>
      <c r="B139" s="120"/>
      <c r="C139" s="121">
        <v>32</v>
      </c>
      <c r="D139" s="121" t="s">
        <v>78</v>
      </c>
      <c r="E139" s="122" t="s">
        <v>150</v>
      </c>
      <c r="F139" s="123" t="s">
        <v>165</v>
      </c>
      <c r="G139" s="124" t="s">
        <v>81</v>
      </c>
      <c r="H139" s="125">
        <v>0</v>
      </c>
      <c r="I139" s="126">
        <v>0</v>
      </c>
      <c r="J139" s="126">
        <f>ROUND(I139*H139,2)</f>
        <v>0</v>
      </c>
      <c r="K139" s="123"/>
      <c r="L139" s="16"/>
    </row>
    <row r="140" spans="1:12" ht="14.25">
      <c r="A140" s="14"/>
      <c r="B140" s="16"/>
      <c r="C140" s="14"/>
      <c r="D140" s="133" t="s">
        <v>82</v>
      </c>
      <c r="E140" s="14"/>
      <c r="F140" s="134" t="s">
        <v>166</v>
      </c>
      <c r="G140" s="14"/>
      <c r="H140" s="14"/>
      <c r="I140" s="14"/>
      <c r="K140" s="14"/>
      <c r="L140" s="16"/>
    </row>
    <row r="141" spans="1:12" ht="14.25">
      <c r="A141" s="14"/>
      <c r="B141" s="16"/>
      <c r="C141" s="14"/>
      <c r="D141" s="127" t="s">
        <v>160</v>
      </c>
      <c r="E141" s="14"/>
      <c r="F141" s="143"/>
      <c r="G141" s="14"/>
      <c r="H141" s="14"/>
      <c r="I141" s="14"/>
      <c r="J141" s="14"/>
      <c r="K141" s="14"/>
      <c r="L141" s="15"/>
    </row>
    <row r="142" spans="1:12" ht="14.25">
      <c r="A142" s="14"/>
      <c r="B142" s="120"/>
      <c r="C142" s="121">
        <v>33</v>
      </c>
      <c r="D142" s="121" t="s">
        <v>78</v>
      </c>
      <c r="E142" s="122" t="s">
        <v>167</v>
      </c>
      <c r="F142" s="123" t="s">
        <v>168</v>
      </c>
      <c r="G142" s="124" t="s">
        <v>81</v>
      </c>
      <c r="H142" s="125">
        <v>0</v>
      </c>
      <c r="I142" s="126">
        <v>0</v>
      </c>
      <c r="J142" s="126">
        <f>ROUND(I142*H142,2)</f>
        <v>0</v>
      </c>
      <c r="K142" s="123"/>
      <c r="L142" s="15"/>
    </row>
    <row r="143" spans="1:12" ht="14.25">
      <c r="A143" s="14"/>
      <c r="B143" s="16"/>
      <c r="C143" s="14"/>
      <c r="D143" s="131" t="s">
        <v>82</v>
      </c>
      <c r="E143" s="14"/>
      <c r="F143" s="132" t="s">
        <v>169</v>
      </c>
      <c r="G143" s="14"/>
      <c r="H143" s="14"/>
      <c r="I143" s="14"/>
      <c r="K143" s="14"/>
      <c r="L143" s="15"/>
    </row>
    <row r="144" spans="1:12" ht="27">
      <c r="A144" s="14"/>
      <c r="B144" s="16"/>
      <c r="C144" s="14"/>
      <c r="D144" s="127" t="s">
        <v>160</v>
      </c>
      <c r="E144" s="14"/>
      <c r="F144" s="143" t="s">
        <v>170</v>
      </c>
      <c r="G144" s="14"/>
      <c r="H144" s="14"/>
      <c r="I144" s="14"/>
      <c r="J144" s="14"/>
      <c r="K144" s="14"/>
      <c r="L144" s="15"/>
    </row>
    <row r="145" spans="1:12" ht="14.25">
      <c r="A145" s="14"/>
      <c r="B145" s="120"/>
      <c r="C145" s="121">
        <v>34</v>
      </c>
      <c r="D145" s="121" t="s">
        <v>78</v>
      </c>
      <c r="E145" s="122" t="s">
        <v>151</v>
      </c>
      <c r="F145" s="123" t="s">
        <v>171</v>
      </c>
      <c r="G145" s="124" t="s">
        <v>81</v>
      </c>
      <c r="H145" s="125">
        <v>0</v>
      </c>
      <c r="I145" s="126">
        <v>0</v>
      </c>
      <c r="J145" s="126">
        <f>ROUND(I145*H145,2)</f>
        <v>0</v>
      </c>
      <c r="K145" s="123"/>
      <c r="L145" s="15"/>
    </row>
    <row r="146" spans="1:12" ht="14.25">
      <c r="A146" s="14"/>
      <c r="B146" s="16"/>
      <c r="C146" s="14"/>
      <c r="D146" s="127" t="s">
        <v>82</v>
      </c>
      <c r="E146" s="14"/>
      <c r="F146" s="128" t="s">
        <v>171</v>
      </c>
      <c r="G146" s="14"/>
      <c r="H146" s="14"/>
      <c r="I146" s="14"/>
      <c r="J146" s="14"/>
      <c r="K146" s="14"/>
      <c r="L146" s="15"/>
    </row>
    <row r="147" spans="1:12" ht="14.25">
      <c r="A147" s="14"/>
      <c r="B147" s="120"/>
      <c r="C147" s="121">
        <v>35</v>
      </c>
      <c r="D147" s="121" t="s">
        <v>78</v>
      </c>
      <c r="E147" s="122" t="s">
        <v>172</v>
      </c>
      <c r="F147" s="123" t="s">
        <v>173</v>
      </c>
      <c r="G147" s="124" t="s">
        <v>81</v>
      </c>
      <c r="H147" s="125">
        <v>0</v>
      </c>
      <c r="I147" s="126">
        <v>0</v>
      </c>
      <c r="J147" s="126">
        <f>ROUND(I147*H147,2)</f>
        <v>0</v>
      </c>
      <c r="K147" s="123"/>
      <c r="L147" s="15"/>
    </row>
    <row r="148" spans="1:12" ht="14.25">
      <c r="A148" s="14"/>
      <c r="B148" s="16"/>
      <c r="C148" s="14"/>
      <c r="D148" s="127" t="s">
        <v>82</v>
      </c>
      <c r="E148" s="14"/>
      <c r="F148" s="128" t="s">
        <v>173</v>
      </c>
      <c r="G148" s="14"/>
      <c r="H148" s="14"/>
      <c r="I148" s="14"/>
      <c r="J148" s="14"/>
      <c r="K148" s="14"/>
      <c r="L148" s="15"/>
    </row>
    <row r="149" spans="1:12" ht="14.25">
      <c r="A149" s="14"/>
      <c r="B149" s="120"/>
      <c r="C149" s="121">
        <v>36</v>
      </c>
      <c r="D149" s="121" t="s">
        <v>78</v>
      </c>
      <c r="E149" s="122" t="s">
        <v>174</v>
      </c>
      <c r="F149" s="123" t="s">
        <v>175</v>
      </c>
      <c r="G149" s="124" t="s">
        <v>86</v>
      </c>
      <c r="H149" s="125">
        <v>30</v>
      </c>
      <c r="I149" s="126">
        <v>0</v>
      </c>
      <c r="J149" s="126">
        <f>ROUND(I149*H149,2)</f>
        <v>0</v>
      </c>
      <c r="K149" s="123"/>
      <c r="L149" s="15"/>
    </row>
    <row r="150" spans="1:12" ht="14.25">
      <c r="A150" s="14"/>
      <c r="B150" s="16"/>
      <c r="C150" s="14"/>
      <c r="D150" s="127" t="s">
        <v>82</v>
      </c>
      <c r="E150" s="14"/>
      <c r="F150" s="128" t="s">
        <v>175</v>
      </c>
      <c r="G150" s="14"/>
      <c r="H150" s="14"/>
      <c r="I150" s="14"/>
      <c r="J150" s="14"/>
      <c r="K150" s="14"/>
      <c r="L150" s="15"/>
    </row>
    <row r="151" spans="1:12" ht="14.25">
      <c r="A151" s="14"/>
      <c r="B151" s="120"/>
      <c r="C151" s="121">
        <v>37</v>
      </c>
      <c r="D151" s="121" t="s">
        <v>78</v>
      </c>
      <c r="E151" s="122" t="s">
        <v>176</v>
      </c>
      <c r="F151" s="123" t="s">
        <v>177</v>
      </c>
      <c r="G151" s="124" t="s">
        <v>86</v>
      </c>
      <c r="H151" s="125">
        <v>10</v>
      </c>
      <c r="I151" s="126">
        <v>0</v>
      </c>
      <c r="J151" s="126">
        <f>ROUND(I151*H151,2)</f>
        <v>0</v>
      </c>
      <c r="K151" s="123"/>
      <c r="L151" s="15"/>
    </row>
    <row r="152" spans="1:12" ht="14.25">
      <c r="A152" s="14"/>
      <c r="B152" s="16"/>
      <c r="C152" s="14"/>
      <c r="D152" s="127" t="s">
        <v>82</v>
      </c>
      <c r="E152" s="14"/>
      <c r="F152" s="128" t="s">
        <v>177</v>
      </c>
      <c r="G152" s="14"/>
      <c r="H152" s="14"/>
      <c r="I152" s="14"/>
      <c r="J152" s="14"/>
      <c r="K152" s="14"/>
      <c r="L152" s="15"/>
    </row>
    <row r="153" spans="1:12" ht="14.25">
      <c r="A153" s="14"/>
      <c r="B153" s="120"/>
      <c r="C153" s="121">
        <v>38</v>
      </c>
      <c r="D153" s="121" t="s">
        <v>78</v>
      </c>
      <c r="E153" s="122" t="s">
        <v>178</v>
      </c>
      <c r="F153" s="123" t="s">
        <v>179</v>
      </c>
      <c r="G153" s="124" t="s">
        <v>86</v>
      </c>
      <c r="H153" s="125">
        <v>2360</v>
      </c>
      <c r="I153" s="126">
        <v>0</v>
      </c>
      <c r="J153" s="126">
        <f>ROUND(I153*H153,2)</f>
        <v>0</v>
      </c>
      <c r="K153" s="123"/>
      <c r="L153" s="15"/>
    </row>
    <row r="154" spans="1:12" ht="14.25">
      <c r="A154" s="14"/>
      <c r="B154" s="16"/>
      <c r="C154" s="14"/>
      <c r="D154" s="127" t="s">
        <v>82</v>
      </c>
      <c r="E154" s="14"/>
      <c r="F154" s="128" t="s">
        <v>179</v>
      </c>
      <c r="G154" s="14"/>
      <c r="H154" s="14"/>
      <c r="I154" s="14"/>
      <c r="J154" s="14"/>
      <c r="K154" s="14"/>
      <c r="L154" s="15"/>
    </row>
    <row r="155" spans="1:12" ht="14.25">
      <c r="A155" s="14"/>
      <c r="B155" s="120"/>
      <c r="C155" s="121">
        <v>39</v>
      </c>
      <c r="D155" s="121" t="s">
        <v>78</v>
      </c>
      <c r="E155" s="122" t="s">
        <v>180</v>
      </c>
      <c r="F155" s="123" t="s">
        <v>181</v>
      </c>
      <c r="G155" s="124" t="s">
        <v>86</v>
      </c>
      <c r="H155" s="125">
        <v>120</v>
      </c>
      <c r="I155" s="126">
        <v>0</v>
      </c>
      <c r="J155" s="126">
        <f>ROUND(I155*H155,2)</f>
        <v>0</v>
      </c>
      <c r="K155" s="123"/>
      <c r="L155" s="15"/>
    </row>
    <row r="156" spans="1:12" ht="14.25">
      <c r="A156" s="14"/>
      <c r="B156" s="16"/>
      <c r="C156" s="14"/>
      <c r="D156" s="127" t="s">
        <v>82</v>
      </c>
      <c r="E156" s="14"/>
      <c r="F156" s="128" t="s">
        <v>181</v>
      </c>
      <c r="G156" s="14"/>
      <c r="H156" s="14"/>
      <c r="I156" s="14"/>
      <c r="J156" s="14"/>
      <c r="K156" s="14"/>
      <c r="L156" s="15"/>
    </row>
    <row r="157" spans="1:12" ht="14.25">
      <c r="A157" s="14"/>
      <c r="B157" s="120"/>
      <c r="C157" s="121">
        <v>40</v>
      </c>
      <c r="D157" s="121" t="s">
        <v>78</v>
      </c>
      <c r="E157" s="122" t="s">
        <v>182</v>
      </c>
      <c r="F157" s="123" t="s">
        <v>183</v>
      </c>
      <c r="G157" s="124" t="s">
        <v>86</v>
      </c>
      <c r="H157" s="125">
        <v>2</v>
      </c>
      <c r="I157" s="126">
        <v>0</v>
      </c>
      <c r="J157" s="126">
        <f>ROUND(I157*H157,2)</f>
        <v>0</v>
      </c>
      <c r="K157" s="123"/>
      <c r="L157" s="15"/>
    </row>
    <row r="158" spans="1:12" ht="14.25">
      <c r="A158" s="14"/>
      <c r="B158" s="16"/>
      <c r="C158" s="14"/>
      <c r="D158" s="127" t="s">
        <v>82</v>
      </c>
      <c r="E158" s="14"/>
      <c r="F158" s="128" t="s">
        <v>183</v>
      </c>
      <c r="G158" s="14"/>
      <c r="H158" s="14"/>
      <c r="I158" s="14"/>
      <c r="J158" s="14"/>
      <c r="K158" s="14"/>
      <c r="L158" s="15"/>
    </row>
    <row r="159" spans="1:12" ht="14.25">
      <c r="A159" s="14"/>
      <c r="B159" s="120"/>
      <c r="C159" s="121">
        <v>41</v>
      </c>
      <c r="D159" s="121" t="s">
        <v>78</v>
      </c>
      <c r="E159" s="122" t="s">
        <v>184</v>
      </c>
      <c r="F159" s="123" t="s">
        <v>185</v>
      </c>
      <c r="G159" s="124" t="s">
        <v>86</v>
      </c>
      <c r="H159" s="125">
        <v>2250</v>
      </c>
      <c r="I159" s="126">
        <v>0</v>
      </c>
      <c r="J159" s="126">
        <f>ROUND(I159*H159,2)</f>
        <v>0</v>
      </c>
      <c r="K159" s="123"/>
      <c r="L159" s="15"/>
    </row>
    <row r="160" spans="1:12" ht="14.25">
      <c r="A160" s="14"/>
      <c r="B160" s="16"/>
      <c r="C160" s="14"/>
      <c r="D160" s="127" t="s">
        <v>82</v>
      </c>
      <c r="E160" s="14"/>
      <c r="F160" s="128" t="s">
        <v>186</v>
      </c>
      <c r="G160" s="14"/>
      <c r="H160" s="14"/>
      <c r="I160" s="14"/>
      <c r="J160" s="14"/>
      <c r="K160" s="14"/>
      <c r="L160" s="15"/>
    </row>
    <row r="161" spans="1:12" ht="14.25">
      <c r="A161" s="14"/>
      <c r="B161" s="120"/>
      <c r="C161" s="121">
        <v>42</v>
      </c>
      <c r="D161" s="121" t="s">
        <v>78</v>
      </c>
      <c r="E161" s="122" t="s">
        <v>187</v>
      </c>
      <c r="F161" s="123" t="s">
        <v>188</v>
      </c>
      <c r="G161" s="124" t="s">
        <v>81</v>
      </c>
      <c r="H161" s="125">
        <v>0</v>
      </c>
      <c r="I161" s="126">
        <v>0</v>
      </c>
      <c r="J161" s="126">
        <f>ROUND(I161*H161,2)</f>
        <v>0</v>
      </c>
      <c r="K161" s="123"/>
      <c r="L161" s="15"/>
    </row>
    <row r="162" spans="1:12" ht="14.25">
      <c r="A162" s="14"/>
      <c r="B162" s="16"/>
      <c r="C162" s="14"/>
      <c r="D162" s="127" t="s">
        <v>82</v>
      </c>
      <c r="E162" s="14"/>
      <c r="F162" s="128" t="s">
        <v>188</v>
      </c>
      <c r="G162" s="14"/>
      <c r="H162" s="14"/>
      <c r="I162" s="14"/>
      <c r="J162" s="14"/>
      <c r="K162" s="14"/>
      <c r="L162" s="15"/>
    </row>
    <row r="163" spans="1:12" ht="14.25">
      <c r="A163" s="14"/>
      <c r="B163" s="120"/>
      <c r="C163" s="121">
        <v>43</v>
      </c>
      <c r="D163" s="121" t="s">
        <v>78</v>
      </c>
      <c r="E163" s="122" t="s">
        <v>189</v>
      </c>
      <c r="F163" s="123" t="s">
        <v>190</v>
      </c>
      <c r="G163" s="124" t="s">
        <v>81</v>
      </c>
      <c r="H163" s="125">
        <v>62</v>
      </c>
      <c r="I163" s="126">
        <v>0</v>
      </c>
      <c r="J163" s="126">
        <f>ROUND(I163*H163,2)</f>
        <v>0</v>
      </c>
      <c r="K163" s="123"/>
      <c r="L163" s="15"/>
    </row>
    <row r="164" spans="1:12" ht="14.25">
      <c r="A164" s="14"/>
      <c r="B164" s="16"/>
      <c r="C164" s="14"/>
      <c r="D164" s="127" t="s">
        <v>82</v>
      </c>
      <c r="E164" s="14"/>
      <c r="F164" s="128" t="s">
        <v>190</v>
      </c>
      <c r="G164" s="14"/>
      <c r="H164" s="14"/>
      <c r="I164" s="14"/>
      <c r="J164" s="14"/>
      <c r="K164" s="14"/>
      <c r="L164" s="15"/>
    </row>
    <row r="165" spans="1:12" s="135" customFormat="1" ht="13.5">
      <c r="A165" s="14"/>
      <c r="B165" s="120"/>
      <c r="C165" s="121">
        <v>44</v>
      </c>
      <c r="D165" s="121" t="s">
        <v>78</v>
      </c>
      <c r="E165" s="122" t="s">
        <v>191</v>
      </c>
      <c r="F165" s="123" t="s">
        <v>192</v>
      </c>
      <c r="G165" s="124" t="s">
        <v>193</v>
      </c>
      <c r="H165" s="125">
        <v>7.625</v>
      </c>
      <c r="I165" s="126">
        <v>0</v>
      </c>
      <c r="J165" s="126">
        <f>ROUND(I165*H165,2)</f>
        <v>0</v>
      </c>
      <c r="K165" s="123"/>
      <c r="L165" s="15"/>
    </row>
    <row r="166" spans="1:12" s="135" customFormat="1" ht="13.5">
      <c r="A166" s="14"/>
      <c r="B166" s="16"/>
      <c r="C166" s="14"/>
      <c r="D166" s="144" t="s">
        <v>82</v>
      </c>
      <c r="E166" s="14"/>
      <c r="F166" s="128" t="s">
        <v>192</v>
      </c>
      <c r="G166" s="14"/>
      <c r="H166" s="14"/>
      <c r="I166" s="14"/>
      <c r="J166" s="14"/>
      <c r="K166" s="14"/>
      <c r="L166" s="15"/>
    </row>
    <row r="167" spans="1:12" s="135" customFormat="1" ht="13.5">
      <c r="A167" s="14"/>
      <c r="B167" s="16"/>
      <c r="C167" s="14"/>
      <c r="D167" s="144" t="s">
        <v>194</v>
      </c>
      <c r="E167" s="14"/>
      <c r="F167" s="145" t="s">
        <v>195</v>
      </c>
      <c r="G167" s="14"/>
      <c r="H167" s="14">
        <f>(((28+3)*0.5+(7+8)*0.5*2)*0.25)</f>
        <v>7.625</v>
      </c>
      <c r="I167" s="14"/>
      <c r="J167" s="14"/>
      <c r="K167" s="14"/>
      <c r="L167" s="15"/>
    </row>
    <row r="168" spans="1:12" s="135" customFormat="1" ht="13.5">
      <c r="A168" s="14"/>
      <c r="B168" s="120"/>
      <c r="C168" s="121">
        <v>45</v>
      </c>
      <c r="D168" s="121" t="s">
        <v>78</v>
      </c>
      <c r="E168" s="122" t="s">
        <v>196</v>
      </c>
      <c r="F168" s="123" t="s">
        <v>197</v>
      </c>
      <c r="G168" s="124" t="s">
        <v>193</v>
      </c>
      <c r="H168" s="125">
        <f>H170</f>
        <v>13.972999999999988</v>
      </c>
      <c r="I168" s="126">
        <v>0</v>
      </c>
      <c r="J168" s="126">
        <f>ROUND(I168*H168,2)</f>
        <v>0</v>
      </c>
      <c r="K168" s="123"/>
      <c r="L168" s="15"/>
    </row>
    <row r="169" spans="1:12" s="135" customFormat="1" ht="13.5">
      <c r="A169" s="14"/>
      <c r="B169" s="16"/>
      <c r="C169" s="14"/>
      <c r="D169" s="144" t="s">
        <v>82</v>
      </c>
      <c r="E169" s="14"/>
      <c r="F169" s="128" t="s">
        <v>197</v>
      </c>
      <c r="G169" s="14"/>
      <c r="H169" s="14"/>
      <c r="I169" s="14"/>
      <c r="J169" s="14"/>
      <c r="K169" s="14"/>
      <c r="L169" s="15"/>
    </row>
    <row r="170" spans="1:12" s="135" customFormat="1" ht="13.5">
      <c r="A170" s="14"/>
      <c r="B170" s="16"/>
      <c r="C170" s="14"/>
      <c r="D170" s="144" t="s">
        <v>194</v>
      </c>
      <c r="E170" s="14"/>
      <c r="F170" s="128" t="s">
        <v>198</v>
      </c>
      <c r="G170" s="14"/>
      <c r="H170" s="14">
        <f>((28+3)*0.5*0.85+(7+8)*0.5*0.5+14*1*1*1.31*1*1.2-30*0.8*0.8*1.3)</f>
        <v>13.972999999999988</v>
      </c>
      <c r="I170" s="14"/>
      <c r="J170" s="14"/>
      <c r="K170" s="14"/>
      <c r="L170" s="15"/>
    </row>
    <row r="171" spans="1:12" ht="14.25">
      <c r="A171" s="14"/>
      <c r="B171" s="120"/>
      <c r="C171" s="121">
        <v>46</v>
      </c>
      <c r="D171" s="121" t="s">
        <v>78</v>
      </c>
      <c r="E171" s="122" t="s">
        <v>199</v>
      </c>
      <c r="F171" s="123" t="s">
        <v>200</v>
      </c>
      <c r="G171" s="124" t="s">
        <v>193</v>
      </c>
      <c r="H171" s="125">
        <v>0.5</v>
      </c>
      <c r="I171" s="126">
        <v>0</v>
      </c>
      <c r="J171" s="126">
        <f>ROUND(I171*H171,2)</f>
        <v>0</v>
      </c>
      <c r="K171" s="123"/>
      <c r="L171" s="15"/>
    </row>
    <row r="172" spans="1:12" ht="14.25">
      <c r="A172" s="14"/>
      <c r="B172" s="16"/>
      <c r="C172" s="14"/>
      <c r="D172" s="127" t="s">
        <v>82</v>
      </c>
      <c r="E172" s="14"/>
      <c r="F172" s="128" t="s">
        <v>200</v>
      </c>
      <c r="G172" s="14"/>
      <c r="H172" s="14"/>
      <c r="I172" s="14"/>
      <c r="J172" s="14"/>
      <c r="K172" s="14"/>
      <c r="L172" s="15"/>
    </row>
    <row r="173" spans="1:12" ht="14.25">
      <c r="A173" s="14"/>
      <c r="B173" s="120"/>
      <c r="C173" s="121">
        <v>47</v>
      </c>
      <c r="D173" s="121" t="s">
        <v>78</v>
      </c>
      <c r="E173" s="122" t="s">
        <v>201</v>
      </c>
      <c r="F173" s="123" t="s">
        <v>202</v>
      </c>
      <c r="G173" s="124" t="s">
        <v>203</v>
      </c>
      <c r="H173" s="125">
        <v>60</v>
      </c>
      <c r="I173" s="126">
        <v>0</v>
      </c>
      <c r="J173" s="126">
        <f>ROUND(I173*H173,2)</f>
        <v>0</v>
      </c>
      <c r="K173" s="123"/>
      <c r="L173" s="15"/>
    </row>
    <row r="174" spans="1:12" ht="14.25">
      <c r="A174" s="14"/>
      <c r="B174" s="16"/>
      <c r="C174" s="14"/>
      <c r="D174" s="127" t="s">
        <v>82</v>
      </c>
      <c r="E174" s="14"/>
      <c r="F174" s="128" t="s">
        <v>202</v>
      </c>
      <c r="G174" s="14"/>
      <c r="H174" s="14"/>
      <c r="I174" s="14"/>
      <c r="J174" s="14"/>
      <c r="K174" s="14"/>
      <c r="L174" s="15"/>
    </row>
    <row r="175" spans="1:12" ht="14.25">
      <c r="A175" s="14"/>
      <c r="B175" s="120"/>
      <c r="C175" s="121">
        <v>48</v>
      </c>
      <c r="D175" s="121" t="s">
        <v>78</v>
      </c>
      <c r="E175" s="122" t="s">
        <v>204</v>
      </c>
      <c r="F175" s="123" t="s">
        <v>205</v>
      </c>
      <c r="G175" s="124" t="s">
        <v>86</v>
      </c>
      <c r="H175" s="125">
        <v>0</v>
      </c>
      <c r="I175" s="126">
        <v>0</v>
      </c>
      <c r="J175" s="126">
        <f>ROUND(I175*H175,2)</f>
        <v>0</v>
      </c>
      <c r="K175" s="123"/>
      <c r="L175" s="15"/>
    </row>
    <row r="176" spans="1:12" ht="14.25">
      <c r="A176" s="14"/>
      <c r="B176" s="16"/>
      <c r="C176" s="14"/>
      <c r="D176" s="127" t="s">
        <v>82</v>
      </c>
      <c r="E176" s="14"/>
      <c r="F176" s="128" t="s">
        <v>206</v>
      </c>
      <c r="G176" s="14"/>
      <c r="H176" s="14"/>
      <c r="I176" s="14"/>
      <c r="K176" s="14"/>
      <c r="L176" s="15"/>
    </row>
    <row r="177" spans="1:12" s="135" customFormat="1" ht="13.5">
      <c r="A177" s="14"/>
      <c r="B177" s="120"/>
      <c r="C177" s="121">
        <v>49</v>
      </c>
      <c r="D177" s="121" t="s">
        <v>207</v>
      </c>
      <c r="E177" s="122" t="s">
        <v>208</v>
      </c>
      <c r="F177" s="123" t="s">
        <v>209</v>
      </c>
      <c r="G177" s="124" t="s">
        <v>86</v>
      </c>
      <c r="H177" s="125">
        <v>2482</v>
      </c>
      <c r="I177" s="126">
        <v>0</v>
      </c>
      <c r="J177" s="126">
        <f>ROUND(I177*H177,2)</f>
        <v>0</v>
      </c>
      <c r="K177" s="146"/>
      <c r="L177" s="147"/>
    </row>
    <row r="178" spans="1:12" ht="14.25">
      <c r="A178" s="14"/>
      <c r="B178" s="16"/>
      <c r="C178" s="14"/>
      <c r="D178" s="127" t="s">
        <v>82</v>
      </c>
      <c r="E178" s="14"/>
      <c r="F178" s="128" t="s">
        <v>206</v>
      </c>
      <c r="G178" s="14"/>
      <c r="H178" s="14"/>
      <c r="I178" s="14"/>
      <c r="K178" s="14"/>
      <c r="L178" s="15"/>
    </row>
    <row r="179" spans="1:12" ht="14.25">
      <c r="A179" s="14"/>
      <c r="B179" s="120"/>
      <c r="C179" s="121">
        <v>50</v>
      </c>
      <c r="D179" s="121" t="s">
        <v>78</v>
      </c>
      <c r="E179" s="122" t="s">
        <v>210</v>
      </c>
      <c r="F179" s="123" t="s">
        <v>211</v>
      </c>
      <c r="G179" s="124" t="s">
        <v>81</v>
      </c>
      <c r="H179" s="125">
        <v>0</v>
      </c>
      <c r="I179" s="126">
        <v>0</v>
      </c>
      <c r="J179" s="126">
        <f>ROUND(I179*H179,2)</f>
        <v>0</v>
      </c>
      <c r="K179" s="123"/>
      <c r="L179" s="15"/>
    </row>
    <row r="180" spans="1:12" ht="14.25">
      <c r="A180" s="14"/>
      <c r="B180" s="16"/>
      <c r="C180" s="14"/>
      <c r="D180" s="131" t="s">
        <v>82</v>
      </c>
      <c r="E180" s="14"/>
      <c r="F180" s="132" t="s">
        <v>211</v>
      </c>
      <c r="G180" s="14"/>
      <c r="H180" s="14"/>
      <c r="I180" s="14"/>
      <c r="K180" s="14"/>
      <c r="L180" s="15"/>
    </row>
    <row r="181" spans="1:12" ht="27">
      <c r="A181" s="14"/>
      <c r="B181" s="120"/>
      <c r="C181" s="121">
        <v>51</v>
      </c>
      <c r="D181" s="121" t="s">
        <v>78</v>
      </c>
      <c r="E181" s="122" t="s">
        <v>210</v>
      </c>
      <c r="F181" s="123" t="s">
        <v>212</v>
      </c>
      <c r="G181" s="124" t="s">
        <v>81</v>
      </c>
      <c r="H181" s="125">
        <v>0</v>
      </c>
      <c r="I181" s="126">
        <v>0</v>
      </c>
      <c r="J181" s="126">
        <f>ROUND(I181*H181,2)</f>
        <v>0</v>
      </c>
      <c r="K181" s="123"/>
      <c r="L181" s="15"/>
    </row>
    <row r="182" spans="1:12" ht="27">
      <c r="A182" s="14"/>
      <c r="B182" s="16"/>
      <c r="C182" s="14"/>
      <c r="D182" s="131" t="s">
        <v>82</v>
      </c>
      <c r="E182" s="14"/>
      <c r="F182" s="132" t="s">
        <v>213</v>
      </c>
      <c r="G182" s="14"/>
      <c r="H182" s="14"/>
      <c r="I182" s="14"/>
      <c r="K182" s="14"/>
      <c r="L182" s="15"/>
    </row>
    <row r="183" spans="1:12" ht="27">
      <c r="A183" s="14"/>
      <c r="B183" s="120"/>
      <c r="C183" s="121">
        <v>52</v>
      </c>
      <c r="D183" s="121" t="s">
        <v>78</v>
      </c>
      <c r="E183" s="122" t="s">
        <v>210</v>
      </c>
      <c r="F183" s="123" t="s">
        <v>214</v>
      </c>
      <c r="G183" s="124" t="s">
        <v>81</v>
      </c>
      <c r="H183" s="125">
        <v>0</v>
      </c>
      <c r="I183" s="126">
        <v>0</v>
      </c>
      <c r="J183" s="126">
        <f>ROUND(I183*H183,2)</f>
        <v>0</v>
      </c>
      <c r="K183" s="123"/>
      <c r="L183" s="15"/>
    </row>
    <row r="184" spans="1:12" ht="27">
      <c r="A184" s="14"/>
      <c r="B184" s="16"/>
      <c r="C184" s="14"/>
      <c r="D184" s="131" t="s">
        <v>82</v>
      </c>
      <c r="E184" s="14"/>
      <c r="F184" s="132" t="s">
        <v>215</v>
      </c>
      <c r="G184" s="14"/>
      <c r="H184" s="14"/>
      <c r="I184" s="14"/>
      <c r="K184" s="14"/>
      <c r="L184" s="15"/>
    </row>
    <row r="185" spans="1:12" ht="14.25">
      <c r="A185" s="14"/>
      <c r="B185" s="120"/>
      <c r="C185" s="121">
        <v>53</v>
      </c>
      <c r="D185" s="121" t="s">
        <v>78</v>
      </c>
      <c r="E185" s="122" t="s">
        <v>216</v>
      </c>
      <c r="F185" s="123" t="s">
        <v>217</v>
      </c>
      <c r="G185" s="124" t="s">
        <v>81</v>
      </c>
      <c r="H185" s="125">
        <v>1</v>
      </c>
      <c r="I185" s="126">
        <v>0</v>
      </c>
      <c r="J185" s="126">
        <f>ROUND(I185*H185,2)</f>
        <v>0</v>
      </c>
      <c r="K185" s="123"/>
      <c r="L185" s="15"/>
    </row>
    <row r="186" spans="1:12" ht="29.25" customHeight="1">
      <c r="A186" s="14"/>
      <c r="B186" s="16"/>
      <c r="C186" s="14"/>
      <c r="D186" s="131" t="s">
        <v>82</v>
      </c>
      <c r="E186" s="14"/>
      <c r="F186" s="132" t="s">
        <v>218</v>
      </c>
      <c r="G186" s="14"/>
      <c r="H186" s="14"/>
      <c r="I186" s="14"/>
      <c r="K186" s="14"/>
      <c r="L186" s="15"/>
    </row>
    <row r="187" spans="1:12" ht="50.25" customHeight="1">
      <c r="A187" s="114"/>
      <c r="B187" s="115"/>
      <c r="C187" s="114"/>
      <c r="D187" s="116" t="s">
        <v>74</v>
      </c>
      <c r="E187" s="117" t="s">
        <v>219</v>
      </c>
      <c r="F187" s="117" t="s">
        <v>220</v>
      </c>
      <c r="G187" s="114"/>
      <c r="H187" s="114"/>
      <c r="I187" s="114"/>
      <c r="J187" s="118">
        <f>SUM(J188:J195)</f>
        <v>0</v>
      </c>
      <c r="K187" s="114"/>
      <c r="L187" s="119"/>
    </row>
    <row r="188" spans="1:12" ht="14.25">
      <c r="A188" s="14"/>
      <c r="B188" s="120"/>
      <c r="C188" s="121">
        <v>55</v>
      </c>
      <c r="D188" s="121" t="s">
        <v>78</v>
      </c>
      <c r="E188" s="122" t="s">
        <v>221</v>
      </c>
      <c r="F188" s="123" t="s">
        <v>222</v>
      </c>
      <c r="G188" s="124" t="s">
        <v>223</v>
      </c>
      <c r="H188" s="125">
        <v>0</v>
      </c>
      <c r="I188" s="126">
        <v>0</v>
      </c>
      <c r="J188" s="126">
        <f aca="true" t="shared" si="1" ref="J188:J195">ROUND(I188*H188,2)</f>
        <v>0</v>
      </c>
      <c r="K188" s="123"/>
      <c r="L188" s="15"/>
    </row>
    <row r="189" spans="1:12" ht="14.25">
      <c r="A189" s="14"/>
      <c r="B189" s="120"/>
      <c r="C189" s="121">
        <v>56</v>
      </c>
      <c r="D189" s="121" t="s">
        <v>78</v>
      </c>
      <c r="E189" s="122" t="s">
        <v>224</v>
      </c>
      <c r="F189" s="123" t="s">
        <v>225</v>
      </c>
      <c r="G189" s="124" t="s">
        <v>223</v>
      </c>
      <c r="H189" s="125">
        <v>8</v>
      </c>
      <c r="I189" s="126">
        <v>0</v>
      </c>
      <c r="J189" s="126">
        <f t="shared" si="1"/>
        <v>0</v>
      </c>
      <c r="K189" s="123"/>
      <c r="L189" s="15"/>
    </row>
    <row r="190" spans="1:12" ht="14.25">
      <c r="A190" s="14"/>
      <c r="B190" s="120"/>
      <c r="C190" s="121">
        <v>57</v>
      </c>
      <c r="D190" s="121" t="s">
        <v>78</v>
      </c>
      <c r="E190" s="122" t="s">
        <v>224</v>
      </c>
      <c r="F190" s="123" t="s">
        <v>226</v>
      </c>
      <c r="G190" s="124" t="s">
        <v>223</v>
      </c>
      <c r="H190" s="125">
        <v>0</v>
      </c>
      <c r="I190" s="126">
        <v>0</v>
      </c>
      <c r="J190" s="126">
        <f t="shared" si="1"/>
        <v>0</v>
      </c>
      <c r="K190" s="123"/>
      <c r="L190" s="15"/>
    </row>
    <row r="191" spans="1:12" ht="14.25">
      <c r="A191" s="14"/>
      <c r="B191" s="120"/>
      <c r="C191" s="121">
        <v>58</v>
      </c>
      <c r="D191" s="121" t="s">
        <v>78</v>
      </c>
      <c r="E191" s="122" t="s">
        <v>227</v>
      </c>
      <c r="F191" s="123" t="s">
        <v>228</v>
      </c>
      <c r="G191" s="124" t="s">
        <v>223</v>
      </c>
      <c r="H191" s="125">
        <v>0</v>
      </c>
      <c r="I191" s="126">
        <v>0</v>
      </c>
      <c r="J191" s="126">
        <f t="shared" si="1"/>
        <v>0</v>
      </c>
      <c r="K191" s="123"/>
      <c r="L191" s="15"/>
    </row>
    <row r="192" spans="1:12" ht="14.25">
      <c r="A192" s="14"/>
      <c r="B192" s="120"/>
      <c r="C192" s="121">
        <v>59</v>
      </c>
      <c r="D192" s="121" t="s">
        <v>78</v>
      </c>
      <c r="E192" s="122" t="s">
        <v>229</v>
      </c>
      <c r="F192" s="123" t="s">
        <v>230</v>
      </c>
      <c r="G192" s="124" t="s">
        <v>223</v>
      </c>
      <c r="H192" s="125">
        <v>0</v>
      </c>
      <c r="I192" s="126">
        <v>0</v>
      </c>
      <c r="J192" s="126">
        <f t="shared" si="1"/>
        <v>0</v>
      </c>
      <c r="K192" s="123"/>
      <c r="L192" s="15"/>
    </row>
    <row r="193" spans="1:12" ht="14.25">
      <c r="A193" s="14"/>
      <c r="B193" s="120"/>
      <c r="C193" s="121">
        <v>60</v>
      </c>
      <c r="D193" s="121" t="s">
        <v>78</v>
      </c>
      <c r="E193" s="122" t="s">
        <v>231</v>
      </c>
      <c r="F193" s="123" t="s">
        <v>232</v>
      </c>
      <c r="G193" s="124" t="s">
        <v>223</v>
      </c>
      <c r="H193" s="125">
        <v>15</v>
      </c>
      <c r="I193" s="126">
        <v>0</v>
      </c>
      <c r="J193" s="126">
        <f t="shared" si="1"/>
        <v>0</v>
      </c>
      <c r="K193" s="123"/>
      <c r="L193" s="15"/>
    </row>
    <row r="194" spans="1:12" ht="14.25">
      <c r="A194" s="14"/>
      <c r="B194" s="120"/>
      <c r="C194" s="121">
        <v>61</v>
      </c>
      <c r="D194" s="121" t="s">
        <v>78</v>
      </c>
      <c r="E194" s="122" t="s">
        <v>233</v>
      </c>
      <c r="F194" s="123" t="s">
        <v>234</v>
      </c>
      <c r="G194" s="124" t="s">
        <v>223</v>
      </c>
      <c r="H194" s="125">
        <v>0</v>
      </c>
      <c r="I194" s="126">
        <v>0</v>
      </c>
      <c r="J194" s="126">
        <f t="shared" si="1"/>
        <v>0</v>
      </c>
      <c r="K194" s="123"/>
      <c r="L194" s="15"/>
    </row>
    <row r="195" spans="1:12" ht="14.25">
      <c r="A195" s="14"/>
      <c r="B195" s="120"/>
      <c r="C195" s="121">
        <v>62</v>
      </c>
      <c r="D195" s="121" t="s">
        <v>78</v>
      </c>
      <c r="E195" s="122" t="s">
        <v>235</v>
      </c>
      <c r="F195" s="123" t="s">
        <v>236</v>
      </c>
      <c r="G195" s="124" t="s">
        <v>223</v>
      </c>
      <c r="H195" s="125">
        <v>0</v>
      </c>
      <c r="I195" s="126">
        <v>0</v>
      </c>
      <c r="J195" s="126">
        <f t="shared" si="1"/>
        <v>0</v>
      </c>
      <c r="K195" s="123"/>
      <c r="L195" s="15"/>
    </row>
    <row r="196" spans="1:12" ht="39.75" customHeight="1">
      <c r="A196" s="114"/>
      <c r="B196" s="115"/>
      <c r="C196" s="114"/>
      <c r="D196" s="136" t="s">
        <v>74</v>
      </c>
      <c r="E196" s="137" t="s">
        <v>237</v>
      </c>
      <c r="F196" s="137" t="s">
        <v>238</v>
      </c>
      <c r="G196" s="114"/>
      <c r="H196" s="114"/>
      <c r="I196" s="114"/>
      <c r="J196" s="138">
        <f>SUM(J197+J204)</f>
        <v>0</v>
      </c>
      <c r="K196" s="114"/>
      <c r="L196" s="119"/>
    </row>
    <row r="197" spans="1:12" ht="15.75">
      <c r="A197" s="114"/>
      <c r="B197" s="115"/>
      <c r="C197" s="114"/>
      <c r="D197" s="116" t="s">
        <v>74</v>
      </c>
      <c r="E197" s="139" t="s">
        <v>239</v>
      </c>
      <c r="F197" s="139" t="s">
        <v>240</v>
      </c>
      <c r="G197" s="114"/>
      <c r="H197" s="114"/>
      <c r="I197" s="114"/>
      <c r="J197" s="140">
        <f>SUM(J198:J203)</f>
        <v>0</v>
      </c>
      <c r="K197" s="114"/>
      <c r="L197" s="119"/>
    </row>
    <row r="198" spans="1:12" ht="14.25">
      <c r="A198" s="14"/>
      <c r="B198" s="120"/>
      <c r="C198" s="121">
        <v>63</v>
      </c>
      <c r="D198" s="121" t="s">
        <v>78</v>
      </c>
      <c r="E198" s="122"/>
      <c r="F198" s="123" t="s">
        <v>241</v>
      </c>
      <c r="G198" s="124" t="s">
        <v>242</v>
      </c>
      <c r="H198" s="125">
        <v>1</v>
      </c>
      <c r="I198" s="126">
        <v>0</v>
      </c>
      <c r="J198" s="126">
        <f>ROUND(I198*H198,2)</f>
        <v>0</v>
      </c>
      <c r="K198" s="123"/>
      <c r="L198" s="15"/>
    </row>
    <row r="199" spans="1:12" ht="14.25">
      <c r="A199" s="14"/>
      <c r="B199" s="16"/>
      <c r="C199" s="14"/>
      <c r="D199" s="127" t="s">
        <v>82</v>
      </c>
      <c r="E199" s="14"/>
      <c r="F199" s="128" t="s">
        <v>243</v>
      </c>
      <c r="G199" s="14"/>
      <c r="H199" s="14"/>
      <c r="I199" s="14"/>
      <c r="J199" s="14"/>
      <c r="K199" s="14"/>
      <c r="L199" s="15"/>
    </row>
    <row r="200" spans="1:12" s="135" customFormat="1" ht="13.5">
      <c r="A200" s="14"/>
      <c r="B200" s="120"/>
      <c r="C200" s="121">
        <v>64</v>
      </c>
      <c r="D200" s="121" t="s">
        <v>78</v>
      </c>
      <c r="E200" s="122"/>
      <c r="F200" s="123" t="s">
        <v>244</v>
      </c>
      <c r="G200" s="124" t="s">
        <v>242</v>
      </c>
      <c r="H200" s="125">
        <v>1</v>
      </c>
      <c r="I200" s="126">
        <v>0</v>
      </c>
      <c r="J200" s="126">
        <f>ROUND(I200*H200,2)</f>
        <v>0</v>
      </c>
      <c r="K200" s="123"/>
      <c r="L200" s="15"/>
    </row>
    <row r="201" spans="1:12" s="135" customFormat="1" ht="13.5">
      <c r="A201" s="14"/>
      <c r="B201" s="16"/>
      <c r="C201" s="14"/>
      <c r="D201" s="144" t="s">
        <v>82</v>
      </c>
      <c r="E201" s="14"/>
      <c r="F201" s="128" t="s">
        <v>245</v>
      </c>
      <c r="G201" s="14"/>
      <c r="H201" s="14"/>
      <c r="I201" s="14"/>
      <c r="J201" s="14"/>
      <c r="K201" s="14"/>
      <c r="L201" s="15"/>
    </row>
    <row r="202" spans="1:12" s="135" customFormat="1" ht="13.5">
      <c r="A202" s="14"/>
      <c r="B202" s="120"/>
      <c r="C202" s="121">
        <v>65</v>
      </c>
      <c r="D202" s="121" t="s">
        <v>78</v>
      </c>
      <c r="E202" s="122"/>
      <c r="F202" s="123" t="s">
        <v>240</v>
      </c>
      <c r="G202" s="124" t="s">
        <v>242</v>
      </c>
      <c r="H202" s="125">
        <v>1</v>
      </c>
      <c r="I202" s="148">
        <v>0</v>
      </c>
      <c r="J202" s="126">
        <f>ROUND(I202*H202,2)</f>
        <v>0</v>
      </c>
      <c r="K202" s="123"/>
      <c r="L202" s="15"/>
    </row>
    <row r="203" spans="1:12" s="135" customFormat="1" ht="13.5">
      <c r="A203" s="14"/>
      <c r="B203" s="16"/>
      <c r="C203" s="14"/>
      <c r="D203" s="149" t="s">
        <v>82</v>
      </c>
      <c r="E203" s="14"/>
      <c r="F203" s="132" t="s">
        <v>245</v>
      </c>
      <c r="G203" s="14"/>
      <c r="H203" s="14"/>
      <c r="I203" s="14"/>
      <c r="J203" s="14"/>
      <c r="K203" s="14"/>
      <c r="L203" s="15"/>
    </row>
    <row r="204" spans="1:12" s="156" customFormat="1" ht="27" customHeight="1">
      <c r="A204" s="150"/>
      <c r="B204" s="151"/>
      <c r="C204" s="150"/>
      <c r="D204" s="152" t="s">
        <v>74</v>
      </c>
      <c r="E204" s="153" t="s">
        <v>246</v>
      </c>
      <c r="F204" s="153" t="s">
        <v>247</v>
      </c>
      <c r="G204" s="150"/>
      <c r="H204" s="150"/>
      <c r="I204" s="150"/>
      <c r="J204" s="154">
        <f>SUM(J205:J207)</f>
        <v>0</v>
      </c>
      <c r="K204" s="150"/>
      <c r="L204" s="155"/>
    </row>
    <row r="205" spans="1:12" s="135" customFormat="1" ht="13.5">
      <c r="A205" s="14"/>
      <c r="B205" s="120"/>
      <c r="C205" s="121">
        <v>66</v>
      </c>
      <c r="D205" s="121" t="s">
        <v>78</v>
      </c>
      <c r="E205" s="122"/>
      <c r="F205" s="123" t="s">
        <v>248</v>
      </c>
      <c r="G205" s="124" t="s">
        <v>242</v>
      </c>
      <c r="H205" s="125">
        <v>1</v>
      </c>
      <c r="I205" s="148">
        <v>0</v>
      </c>
      <c r="J205" s="126">
        <f>ROUND(I205*H205,2)</f>
        <v>0</v>
      </c>
      <c r="K205" s="123"/>
      <c r="L205" s="15"/>
    </row>
    <row r="206" spans="1:12" s="135" customFormat="1" ht="13.5">
      <c r="A206" s="14"/>
      <c r="B206" s="16"/>
      <c r="C206" s="14"/>
      <c r="D206" s="149" t="s">
        <v>82</v>
      </c>
      <c r="E206" s="14"/>
      <c r="F206" s="134" t="s">
        <v>249</v>
      </c>
      <c r="G206" s="14"/>
      <c r="H206" s="14"/>
      <c r="I206" s="14"/>
      <c r="J206" s="14"/>
      <c r="K206" s="14"/>
      <c r="L206" s="15"/>
    </row>
    <row r="207" spans="1:12" ht="14.25">
      <c r="A207" s="14"/>
      <c r="B207" s="16"/>
      <c r="C207" s="18"/>
      <c r="D207" s="18"/>
      <c r="E207" s="18"/>
      <c r="F207" s="18"/>
      <c r="G207" s="18"/>
      <c r="H207" s="18"/>
      <c r="I207" s="18"/>
      <c r="J207" s="18"/>
      <c r="K207" s="18"/>
      <c r="L207" s="15"/>
    </row>
  </sheetData>
  <sheetProtection/>
  <printOptions/>
  <pageMargins left="0.11811023622047245" right="0" top="0.767716535433071" bottom="0.9047244094488189" header="0.4720472440944882" footer="0.5118110236220472"/>
  <pageSetup fitToHeight="0" fitToWidth="0" orientation="landscape" pageOrder="overThenDown" paperSize="9" scale="105"/>
  <headerFooter alignWithMargins="0">
    <oddFooter>&amp;C&amp;10Stránka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C251"/>
  <sheetViews>
    <sheetView tabSelected="1" zoomScalePageLayoutView="0" workbookViewId="0" topLeftCell="A196">
      <selection activeCell="I227" sqref="I227"/>
    </sheetView>
  </sheetViews>
  <sheetFormatPr defaultColWidth="9.00390625" defaultRowHeight="6.75" customHeight="1"/>
  <cols>
    <col min="1" max="1" width="2.625" style="1" customWidth="1"/>
    <col min="2" max="2" width="2.50390625" style="1" customWidth="1"/>
    <col min="3" max="3" width="2.875" style="1" customWidth="1"/>
    <col min="4" max="4" width="3.00390625" style="1" customWidth="1"/>
    <col min="5" max="5" width="12.00390625" style="1" customWidth="1"/>
    <col min="6" max="6" width="52.50390625" style="1" customWidth="1"/>
    <col min="7" max="7" width="6.125" style="1" customWidth="1"/>
    <col min="8" max="8" width="7.75390625" style="1" customWidth="1"/>
    <col min="9" max="9" width="8.875" style="1" customWidth="1"/>
    <col min="10" max="10" width="16.375" style="1" customWidth="1"/>
    <col min="11" max="11" width="10.875" style="1" customWidth="1"/>
    <col min="12" max="12" width="6.375" style="0" customWidth="1"/>
    <col min="13" max="15" width="6.50390625" style="1" customWidth="1"/>
    <col min="16" max="16" width="8.875" style="1" customWidth="1"/>
    <col min="17" max="17" width="6.50390625" style="1" customWidth="1"/>
    <col min="18" max="18" width="11.00390625" style="1" customWidth="1"/>
    <col min="19" max="19" width="5.625" style="1" customWidth="1"/>
    <col min="20" max="20" width="20.75390625" style="1" customWidth="1"/>
    <col min="21" max="21" width="11.50390625" style="1" customWidth="1"/>
    <col min="22" max="22" width="8.625" style="1" customWidth="1"/>
    <col min="23" max="23" width="11.50390625" style="1" customWidth="1"/>
    <col min="24" max="24" width="8.625" style="1" customWidth="1"/>
    <col min="25" max="25" width="10.50390625" style="1" customWidth="1"/>
    <col min="26" max="26" width="7.625" style="1" customWidth="1"/>
    <col min="27" max="27" width="10.50390625" style="1" customWidth="1"/>
    <col min="28" max="28" width="11.50390625" style="1" customWidth="1"/>
    <col min="29" max="29" width="7.625" style="1" customWidth="1"/>
    <col min="30" max="30" width="10.50390625" style="1" customWidth="1"/>
    <col min="31" max="31" width="11.50390625" style="1" customWidth="1"/>
    <col min="32" max="43" width="6.375" style="0" customWidth="1"/>
    <col min="44" max="56" width="6.50390625" style="1" customWidth="1"/>
    <col min="57" max="57" width="8.875" style="1" customWidth="1"/>
    <col min="58" max="62" width="6.50390625" style="1" customWidth="1"/>
    <col min="63" max="63" width="12.00390625" style="1" customWidth="1"/>
    <col min="64" max="65" width="6.50390625" style="1" customWidth="1"/>
    <col min="66" max="16384" width="6.375" style="0" customWidth="1"/>
  </cols>
  <sheetData>
    <row r="1" spans="1:70" ht="21.75" customHeight="1">
      <c r="A1" s="68"/>
      <c r="B1" s="69"/>
      <c r="C1" s="69"/>
      <c r="D1" s="70" t="s">
        <v>44</v>
      </c>
      <c r="E1" s="69"/>
      <c r="F1" s="71" t="s">
        <v>45</v>
      </c>
      <c r="G1" s="71" t="s">
        <v>46</v>
      </c>
      <c r="H1" s="71"/>
      <c r="I1" s="69"/>
      <c r="J1" s="71" t="s">
        <v>47</v>
      </c>
      <c r="K1" s="70"/>
      <c r="L1" s="71"/>
      <c r="M1" s="71"/>
      <c r="N1" s="71"/>
      <c r="O1" s="71"/>
      <c r="P1" s="71"/>
      <c r="Q1" s="71"/>
      <c r="R1" s="71"/>
      <c r="S1" s="71"/>
      <c r="T1" s="71"/>
      <c r="U1" s="157"/>
      <c r="V1" s="157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/>
      <c r="AO1" s="158"/>
      <c r="AP1" s="158"/>
      <c r="AQ1" s="158"/>
      <c r="AR1" s="158"/>
      <c r="AS1" s="158"/>
      <c r="AT1" s="158"/>
      <c r="AU1" s="158"/>
      <c r="AV1" s="158"/>
      <c r="AW1" s="158"/>
      <c r="AX1" s="158"/>
      <c r="AY1" s="158"/>
      <c r="AZ1" s="158"/>
      <c r="BA1" s="158"/>
      <c r="BB1" s="158"/>
      <c r="BC1" s="158"/>
      <c r="BD1" s="158"/>
      <c r="BE1" s="158"/>
      <c r="BF1" s="158"/>
      <c r="BG1" s="158"/>
      <c r="BH1" s="158"/>
      <c r="BI1" s="158"/>
      <c r="BJ1" s="158"/>
      <c r="BK1" s="158"/>
      <c r="BL1" s="158"/>
      <c r="BM1" s="158"/>
      <c r="BN1" s="158"/>
      <c r="BO1" s="158"/>
      <c r="BP1" s="158"/>
      <c r="BQ1" s="158"/>
      <c r="BR1" s="158"/>
    </row>
    <row r="2" spans="12:46" ht="12.75" customHeight="1">
      <c r="L2" s="2"/>
      <c r="M2" s="2"/>
      <c r="N2" s="2"/>
      <c r="O2" s="2"/>
      <c r="P2" s="2"/>
      <c r="Q2" s="2"/>
      <c r="R2" s="2"/>
      <c r="S2" s="2"/>
      <c r="T2" s="2"/>
      <c r="U2" s="2"/>
      <c r="V2" s="2"/>
      <c r="AT2" s="159" t="s">
        <v>250</v>
      </c>
    </row>
    <row r="3" spans="2:46" ht="6.75" customHeight="1">
      <c r="B3" s="3"/>
      <c r="C3" s="4"/>
      <c r="D3" s="4"/>
      <c r="E3" s="4"/>
      <c r="F3" s="4"/>
      <c r="G3" s="4"/>
      <c r="H3" s="4"/>
      <c r="I3" s="4"/>
      <c r="J3" s="4"/>
      <c r="K3" s="5"/>
      <c r="AT3" s="159" t="s">
        <v>83</v>
      </c>
    </row>
    <row r="4" spans="2:46" ht="23.25" customHeight="1">
      <c r="B4" s="6"/>
      <c r="C4" s="2"/>
      <c r="D4" s="7" t="s">
        <v>49</v>
      </c>
      <c r="E4" s="2"/>
      <c r="F4" s="2"/>
      <c r="G4" s="2"/>
      <c r="H4" s="2"/>
      <c r="I4" s="2"/>
      <c r="J4" s="2"/>
      <c r="K4" s="8"/>
      <c r="M4" s="160" t="s">
        <v>251</v>
      </c>
      <c r="AT4" s="159" t="s">
        <v>252</v>
      </c>
    </row>
    <row r="5" spans="2:11" ht="6.75" customHeight="1">
      <c r="B5" s="6"/>
      <c r="C5" s="2"/>
      <c r="D5" s="2"/>
      <c r="E5" s="2"/>
      <c r="F5" s="2"/>
      <c r="G5" s="2"/>
      <c r="H5" s="2"/>
      <c r="I5" s="2"/>
      <c r="J5" s="2"/>
      <c r="K5" s="8"/>
    </row>
    <row r="6" spans="2:11" ht="15" customHeight="1">
      <c r="B6" s="6"/>
      <c r="C6" s="2"/>
      <c r="D6" s="12" t="s">
        <v>3</v>
      </c>
      <c r="E6" s="2"/>
      <c r="F6" s="161" t="s">
        <v>50</v>
      </c>
      <c r="G6" s="2"/>
      <c r="H6" s="2"/>
      <c r="I6" s="2"/>
      <c r="J6" s="2"/>
      <c r="K6" s="8"/>
    </row>
    <row r="7" spans="2:11" ht="13.5" customHeight="1">
      <c r="B7" s="6"/>
      <c r="C7" s="2"/>
      <c r="D7" s="2"/>
      <c r="E7" s="12">
        <f>'SO - 01a - Elektromontáže'!K6</f>
        <v>0</v>
      </c>
      <c r="F7" s="12"/>
      <c r="G7" s="12"/>
      <c r="H7" s="12"/>
      <c r="I7" s="2"/>
      <c r="J7" s="2"/>
      <c r="K7" s="8"/>
    </row>
    <row r="8" spans="2:11" s="14" customFormat="1" ht="15" customHeight="1">
      <c r="B8" s="15"/>
      <c r="C8" s="16"/>
      <c r="D8" s="12" t="s">
        <v>51</v>
      </c>
      <c r="E8" s="16"/>
      <c r="F8" s="16"/>
      <c r="G8" s="16"/>
      <c r="H8" s="16"/>
      <c r="I8" s="16"/>
      <c r="J8" s="16"/>
      <c r="K8" s="20"/>
    </row>
    <row r="9" spans="2:11" s="14" customFormat="1" ht="15" customHeight="1">
      <c r="B9" s="15"/>
      <c r="C9" s="16"/>
      <c r="D9" s="16"/>
      <c r="E9" s="47" t="s">
        <v>253</v>
      </c>
      <c r="F9" s="47"/>
      <c r="G9" s="47"/>
      <c r="H9" s="47"/>
      <c r="I9" s="16"/>
      <c r="J9" s="16"/>
      <c r="K9" s="20"/>
    </row>
    <row r="10" spans="2:11" s="14" customFormat="1" ht="13.5" customHeight="1">
      <c r="B10" s="15"/>
      <c r="C10" s="16"/>
      <c r="D10" s="16"/>
      <c r="E10" s="16"/>
      <c r="F10" s="16"/>
      <c r="G10" s="16"/>
      <c r="H10" s="16"/>
      <c r="I10" s="16"/>
      <c r="J10" s="16"/>
      <c r="K10" s="20"/>
    </row>
    <row r="11" spans="2:11" s="14" customFormat="1" ht="14.25" customHeight="1">
      <c r="B11" s="15"/>
      <c r="C11" s="16"/>
      <c r="D11" s="12" t="s">
        <v>5</v>
      </c>
      <c r="E11" s="16"/>
      <c r="F11" s="10"/>
      <c r="G11" s="16"/>
      <c r="H11" s="16"/>
      <c r="I11" s="12" t="s">
        <v>6</v>
      </c>
      <c r="J11" s="10"/>
      <c r="K11" s="20"/>
    </row>
    <row r="12" spans="2:11" s="14" customFormat="1" ht="14.25" customHeight="1">
      <c r="B12" s="15"/>
      <c r="C12" s="16"/>
      <c r="D12" s="12" t="s">
        <v>7</v>
      </c>
      <c r="E12" s="16"/>
      <c r="F12" s="10" t="s">
        <v>8</v>
      </c>
      <c r="G12" s="16"/>
      <c r="H12" s="16"/>
      <c r="I12" s="12" t="s">
        <v>9</v>
      </c>
      <c r="J12" s="13">
        <v>43580</v>
      </c>
      <c r="K12" s="20"/>
    </row>
    <row r="13" spans="2:11" s="14" customFormat="1" ht="10.5" customHeight="1">
      <c r="B13" s="15"/>
      <c r="C13" s="16"/>
      <c r="D13" s="16"/>
      <c r="E13" s="16"/>
      <c r="F13" s="16"/>
      <c r="G13" s="16"/>
      <c r="H13" s="16"/>
      <c r="I13" s="16"/>
      <c r="J13" s="16"/>
      <c r="K13" s="20"/>
    </row>
    <row r="14" spans="2:11" s="14" customFormat="1" ht="14.25" customHeight="1">
      <c r="B14" s="15"/>
      <c r="C14" s="16"/>
      <c r="D14" s="12" t="s">
        <v>10</v>
      </c>
      <c r="E14" s="16"/>
      <c r="F14" s="16"/>
      <c r="G14" s="16"/>
      <c r="H14" s="16"/>
      <c r="I14" s="12" t="s">
        <v>11</v>
      </c>
      <c r="J14" s="10"/>
      <c r="K14" s="20"/>
    </row>
    <row r="15" spans="2:11" s="14" customFormat="1" ht="18" customHeight="1">
      <c r="B15" s="15"/>
      <c r="C15" s="16"/>
      <c r="D15" s="16"/>
      <c r="E15" s="10" t="s">
        <v>12</v>
      </c>
      <c r="F15" s="16"/>
      <c r="G15" s="16"/>
      <c r="H15" s="16"/>
      <c r="I15" s="12" t="s">
        <v>13</v>
      </c>
      <c r="J15" s="10"/>
      <c r="K15" s="20"/>
    </row>
    <row r="16" spans="2:11" s="14" customFormat="1" ht="6.75" customHeight="1">
      <c r="B16" s="15"/>
      <c r="C16" s="16"/>
      <c r="D16" s="16"/>
      <c r="E16" s="16"/>
      <c r="F16" s="16"/>
      <c r="G16" s="16"/>
      <c r="H16" s="16"/>
      <c r="I16" s="16"/>
      <c r="J16" s="16"/>
      <c r="K16" s="20"/>
    </row>
    <row r="17" spans="2:11" s="14" customFormat="1" ht="14.25" customHeight="1">
      <c r="B17" s="15"/>
      <c r="C17" s="16"/>
      <c r="D17" s="12" t="s">
        <v>14</v>
      </c>
      <c r="E17" s="16"/>
      <c r="F17" s="16"/>
      <c r="G17" s="16"/>
      <c r="H17" s="16"/>
      <c r="I17" s="12" t="s">
        <v>11</v>
      </c>
      <c r="J17">
        <f>IF('SO - 01a - Elektromontáže'!AN13="Vyplň údaj","",IF('SO - 01a - Elektromontáže'!AN13="","",'SO - 01a - Elektromontáže'!AN13))</f>
      </c>
      <c r="K17" s="20"/>
    </row>
    <row r="18" spans="2:11" s="14" customFormat="1" ht="12.75" customHeight="1">
      <c r="B18" s="15"/>
      <c r="C18" s="16"/>
      <c r="D18" s="16"/>
      <c r="E18">
        <f>IF('SO - 01a - Elektromontáže'!E14="Vyplň údaj","",IF('SO - 01a - Elektromontáže'!E14="","",'SO - 01a - Elektromontáže'!E14))</f>
      </c>
      <c r="F18" s="16"/>
      <c r="G18" s="16"/>
      <c r="H18" s="16"/>
      <c r="I18" s="12" t="s">
        <v>13</v>
      </c>
      <c r="J18">
        <f>IF('SO - 01a - Elektromontáže'!AN14="Vyplň údaj","",IF('SO - 01a - Elektromontáže'!AN14="","",'SO - 01a - Elektromontáže'!AN14))</f>
      </c>
      <c r="K18" s="20"/>
    </row>
    <row r="19" spans="2:11" s="14" customFormat="1" ht="6.75" customHeight="1">
      <c r="B19" s="15"/>
      <c r="C19" s="16"/>
      <c r="D19" s="16"/>
      <c r="E19" s="16"/>
      <c r="F19" s="16"/>
      <c r="G19" s="16"/>
      <c r="H19" s="16"/>
      <c r="I19" s="16"/>
      <c r="J19" s="16"/>
      <c r="K19" s="20"/>
    </row>
    <row r="20" spans="2:11" s="14" customFormat="1" ht="14.25" customHeight="1">
      <c r="B20" s="15"/>
      <c r="C20" s="16"/>
      <c r="D20" s="12" t="s">
        <v>16</v>
      </c>
      <c r="E20" s="16"/>
      <c r="F20" s="16"/>
      <c r="G20" s="16"/>
      <c r="H20" s="16"/>
      <c r="I20" s="12" t="s">
        <v>11</v>
      </c>
      <c r="J20" s="10"/>
      <c r="K20" s="20"/>
    </row>
    <row r="21" spans="2:11" s="14" customFormat="1" ht="18" customHeight="1">
      <c r="B21" s="15"/>
      <c r="C21" s="16"/>
      <c r="D21" s="16"/>
      <c r="E21" s="10" t="s">
        <v>17</v>
      </c>
      <c r="F21" s="16"/>
      <c r="G21" s="16"/>
      <c r="H21" s="16"/>
      <c r="I21" s="12" t="s">
        <v>13</v>
      </c>
      <c r="J21" s="10"/>
      <c r="K21" s="20"/>
    </row>
    <row r="22" spans="2:11" s="14" customFormat="1" ht="6.75" customHeight="1">
      <c r="B22" s="15"/>
      <c r="C22" s="16"/>
      <c r="D22" s="16"/>
      <c r="E22" s="16"/>
      <c r="F22" s="16"/>
      <c r="G22" s="16"/>
      <c r="H22" s="16"/>
      <c r="I22" s="16"/>
      <c r="J22" s="16"/>
      <c r="K22" s="20"/>
    </row>
    <row r="23" spans="2:11" s="14" customFormat="1" ht="14.25" customHeight="1">
      <c r="B23" s="15"/>
      <c r="C23" s="16"/>
      <c r="D23" s="12" t="s">
        <v>18</v>
      </c>
      <c r="E23" s="16"/>
      <c r="F23" s="16"/>
      <c r="G23" s="16"/>
      <c r="H23" s="16"/>
      <c r="I23" s="16"/>
      <c r="J23" s="16"/>
      <c r="K23" s="20"/>
    </row>
    <row r="24" spans="2:11" s="73" customFormat="1" ht="13.5" customHeight="1">
      <c r="B24" s="74"/>
      <c r="C24" s="75"/>
      <c r="D24" s="75"/>
      <c r="E24" s="10"/>
      <c r="F24" s="10"/>
      <c r="G24" s="10"/>
      <c r="H24" s="10"/>
      <c r="I24" s="75"/>
      <c r="J24" s="75"/>
      <c r="K24" s="77"/>
    </row>
    <row r="25" spans="2:11" s="14" customFormat="1" ht="6.75" customHeight="1">
      <c r="B25" s="15"/>
      <c r="C25" s="16"/>
      <c r="D25" s="16"/>
      <c r="E25" s="16"/>
      <c r="F25" s="16"/>
      <c r="G25" s="16"/>
      <c r="H25" s="16"/>
      <c r="I25" s="16"/>
      <c r="J25" s="16"/>
      <c r="K25" s="20"/>
    </row>
    <row r="26" spans="2:11" s="14" customFormat="1" ht="6.75" customHeight="1">
      <c r="B26" s="15"/>
      <c r="C26" s="16"/>
      <c r="D26" s="78"/>
      <c r="E26" s="78"/>
      <c r="F26" s="78"/>
      <c r="G26" s="78"/>
      <c r="H26" s="78"/>
      <c r="I26" s="78"/>
      <c r="J26" s="78"/>
      <c r="K26" s="79"/>
    </row>
    <row r="27" spans="2:11" s="14" customFormat="1" ht="22.5" customHeight="1">
      <c r="B27" s="15"/>
      <c r="C27" s="16"/>
      <c r="D27" s="80" t="s">
        <v>19</v>
      </c>
      <c r="E27" s="16"/>
      <c r="F27" s="16"/>
      <c r="G27" s="16"/>
      <c r="H27" s="16"/>
      <c r="I27" s="16"/>
      <c r="J27" s="55">
        <f>ROUND(J85,2)</f>
        <v>0</v>
      </c>
      <c r="K27" s="20"/>
    </row>
    <row r="28" spans="2:11" s="14" customFormat="1" ht="6.75" customHeight="1">
      <c r="B28" s="15"/>
      <c r="C28" s="16"/>
      <c r="D28" s="78"/>
      <c r="E28" s="78"/>
      <c r="F28" s="78"/>
      <c r="G28" s="78"/>
      <c r="H28" s="78"/>
      <c r="I28" s="78"/>
      <c r="J28" s="78"/>
      <c r="K28" s="79"/>
    </row>
    <row r="29" spans="2:11" s="14" customFormat="1" ht="14.25" customHeight="1">
      <c r="B29" s="15"/>
      <c r="C29" s="16"/>
      <c r="D29" s="16"/>
      <c r="E29" s="16"/>
      <c r="F29" s="21" t="s">
        <v>21</v>
      </c>
      <c r="G29" s="16"/>
      <c r="H29" s="16"/>
      <c r="I29" s="21" t="s">
        <v>20</v>
      </c>
      <c r="J29" s="21" t="s">
        <v>22</v>
      </c>
      <c r="K29" s="20"/>
    </row>
    <row r="30" spans="2:11" s="14" customFormat="1" ht="14.25" customHeight="1">
      <c r="B30" s="15"/>
      <c r="C30" s="16"/>
      <c r="D30" s="25" t="s">
        <v>23</v>
      </c>
      <c r="E30" s="25" t="s">
        <v>24</v>
      </c>
      <c r="F30" s="81">
        <f>ROUND(SUM(BE85:BE213),2)</f>
        <v>0</v>
      </c>
      <c r="G30" s="16"/>
      <c r="H30" s="16"/>
      <c r="I30" s="82">
        <v>0.21</v>
      </c>
      <c r="J30" s="81">
        <f>ROUND(ROUND((SUM(BE85:BE213)),2)*I30,2)</f>
        <v>0</v>
      </c>
      <c r="K30" s="20"/>
    </row>
    <row r="31" spans="2:11" s="14" customFormat="1" ht="14.25" customHeight="1">
      <c r="B31" s="15"/>
      <c r="C31" s="16"/>
      <c r="D31" s="16"/>
      <c r="E31" s="25" t="s">
        <v>25</v>
      </c>
      <c r="F31" s="81">
        <f>ROUND(SUM(BF85:BF213),2)</f>
        <v>0</v>
      </c>
      <c r="G31" s="16"/>
      <c r="H31" s="16"/>
      <c r="I31" s="82">
        <v>0.15</v>
      </c>
      <c r="J31" s="81">
        <f>ROUND(ROUND((SUM(BF85:BF213)),2)*I31,2)</f>
        <v>0</v>
      </c>
      <c r="K31" s="20"/>
    </row>
    <row r="32" spans="2:11" s="14" customFormat="1" ht="14.25" customHeight="1">
      <c r="B32" s="15"/>
      <c r="C32" s="16"/>
      <c r="D32" s="16"/>
      <c r="E32" s="25" t="s">
        <v>26</v>
      </c>
      <c r="F32" s="81">
        <f>ROUND(SUM(BG85:BG213),2)</f>
        <v>0</v>
      </c>
      <c r="G32" s="16"/>
      <c r="H32" s="16"/>
      <c r="I32" s="82">
        <v>0.21</v>
      </c>
      <c r="J32" s="81">
        <v>0</v>
      </c>
      <c r="K32" s="20"/>
    </row>
    <row r="33" spans="2:11" s="14" customFormat="1" ht="14.25" customHeight="1">
      <c r="B33" s="15"/>
      <c r="C33" s="16"/>
      <c r="D33" s="16"/>
      <c r="E33" s="25" t="s">
        <v>27</v>
      </c>
      <c r="F33" s="81">
        <f>ROUND(SUM(BH85:BH213),2)</f>
        <v>0</v>
      </c>
      <c r="G33" s="16"/>
      <c r="H33" s="16"/>
      <c r="I33" s="82">
        <v>0.15</v>
      </c>
      <c r="J33" s="81">
        <v>0</v>
      </c>
      <c r="K33" s="20"/>
    </row>
    <row r="34" spans="2:11" s="14" customFormat="1" ht="14.25" customHeight="1">
      <c r="B34" s="15"/>
      <c r="C34" s="16"/>
      <c r="D34" s="16"/>
      <c r="E34" s="25" t="s">
        <v>28</v>
      </c>
      <c r="F34" s="81">
        <f>ROUND(SUM(BI85:BI213),2)</f>
        <v>0</v>
      </c>
      <c r="G34" s="16"/>
      <c r="H34" s="16"/>
      <c r="I34" s="82">
        <v>0</v>
      </c>
      <c r="J34" s="81">
        <v>0</v>
      </c>
      <c r="K34" s="20"/>
    </row>
    <row r="35" spans="2:11" s="14" customFormat="1" ht="6.75" customHeight="1">
      <c r="B35" s="15"/>
      <c r="C35" s="16"/>
      <c r="D35" s="16"/>
      <c r="E35" s="16"/>
      <c r="F35" s="16"/>
      <c r="G35" s="16"/>
      <c r="H35" s="16"/>
      <c r="I35" s="16"/>
      <c r="J35" s="16"/>
      <c r="K35" s="20"/>
    </row>
    <row r="36" spans="2:11" s="14" customFormat="1" ht="21.75" customHeight="1">
      <c r="B36" s="15"/>
      <c r="C36" s="28"/>
      <c r="D36" s="29" t="s">
        <v>29</v>
      </c>
      <c r="E36" s="30"/>
      <c r="F36" s="30"/>
      <c r="G36" s="83" t="s">
        <v>30</v>
      </c>
      <c r="H36" s="31" t="s">
        <v>31</v>
      </c>
      <c r="I36" s="30"/>
      <c r="J36" s="84">
        <f>SUM(J27:J34)</f>
        <v>0</v>
      </c>
      <c r="K36" s="85"/>
    </row>
    <row r="37" spans="2:11" s="14" customFormat="1" ht="11.25" customHeight="1">
      <c r="B37" s="36"/>
      <c r="C37" s="18"/>
      <c r="D37" s="18"/>
      <c r="E37" s="18"/>
      <c r="F37" s="18"/>
      <c r="G37" s="18"/>
      <c r="H37" s="18"/>
      <c r="I37" s="18"/>
      <c r="J37" s="18"/>
      <c r="K37" s="37"/>
    </row>
    <row r="38" ht="6.75" customHeight="1"/>
    <row r="39" ht="6.75" customHeight="1"/>
    <row r="40" ht="6.75" customHeight="1"/>
    <row r="41" spans="2:11" s="14" customFormat="1" ht="6.75" customHeight="1">
      <c r="B41" s="38"/>
      <c r="C41" s="39"/>
      <c r="D41" s="39"/>
      <c r="E41" s="39"/>
      <c r="F41" s="39"/>
      <c r="G41" s="39"/>
      <c r="H41" s="39"/>
      <c r="I41" s="39"/>
      <c r="J41" s="39"/>
      <c r="K41" s="86"/>
    </row>
    <row r="42" spans="2:11" s="14" customFormat="1" ht="30" customHeight="1">
      <c r="B42" s="15"/>
      <c r="C42" s="7" t="s">
        <v>55</v>
      </c>
      <c r="D42" s="16"/>
      <c r="E42" s="16"/>
      <c r="F42" s="16"/>
      <c r="G42" s="16"/>
      <c r="H42" s="16"/>
      <c r="I42" s="16"/>
      <c r="J42" s="16"/>
      <c r="K42" s="20"/>
    </row>
    <row r="43" spans="2:11" s="14" customFormat="1" ht="6.75" customHeight="1">
      <c r="B43" s="15"/>
      <c r="C43" s="16"/>
      <c r="D43" s="16"/>
      <c r="E43" s="16"/>
      <c r="F43" s="16"/>
      <c r="G43" s="16"/>
      <c r="H43" s="16"/>
      <c r="I43" s="16"/>
      <c r="J43" s="16"/>
      <c r="K43" s="20"/>
    </row>
    <row r="44" spans="2:11" s="14" customFormat="1" ht="14.25" customHeight="1">
      <c r="B44" s="15"/>
      <c r="C44" s="12" t="s">
        <v>3</v>
      </c>
      <c r="D44" s="16"/>
      <c r="E44" s="16"/>
      <c r="F44" s="16"/>
      <c r="G44" s="16"/>
      <c r="H44" s="16"/>
      <c r="I44" s="16"/>
      <c r="J44" s="16"/>
      <c r="K44" s="20"/>
    </row>
    <row r="45" spans="2:11" s="14" customFormat="1" ht="18" customHeight="1">
      <c r="B45" s="15"/>
      <c r="C45" s="16"/>
      <c r="D45" s="16"/>
      <c r="E45" s="12">
        <f>E7</f>
        <v>0</v>
      </c>
      <c r="F45" s="12"/>
      <c r="G45" s="12"/>
      <c r="H45" s="12"/>
      <c r="I45" s="16"/>
      <c r="J45" s="16"/>
      <c r="K45" s="20"/>
    </row>
    <row r="46" spans="2:11" s="14" customFormat="1" ht="14.25" customHeight="1">
      <c r="B46" s="15"/>
      <c r="C46" s="12" t="s">
        <v>51</v>
      </c>
      <c r="D46" s="16"/>
      <c r="E46" s="16"/>
      <c r="F46" s="16"/>
      <c r="G46" s="16"/>
      <c r="H46" s="16"/>
      <c r="I46" s="16"/>
      <c r="J46" s="16"/>
      <c r="K46" s="20"/>
    </row>
    <row r="47" spans="2:11" s="14" customFormat="1" ht="23.25" customHeight="1">
      <c r="B47" s="15"/>
      <c r="C47" s="16"/>
      <c r="D47" s="16"/>
      <c r="E47" s="47" t="str">
        <f>E9</f>
        <v>SO - 01 - Zemní práce</v>
      </c>
      <c r="F47" s="47"/>
      <c r="G47" s="47"/>
      <c r="H47" s="47"/>
      <c r="I47" s="16"/>
      <c r="J47" s="16"/>
      <c r="K47" s="20"/>
    </row>
    <row r="48" spans="2:11" s="14" customFormat="1" ht="6.75" customHeight="1">
      <c r="B48" s="15"/>
      <c r="C48" s="16"/>
      <c r="D48" s="16"/>
      <c r="E48" s="16"/>
      <c r="F48" s="16"/>
      <c r="G48" s="16"/>
      <c r="H48" s="16"/>
      <c r="I48" s="16"/>
      <c r="J48" s="16"/>
      <c r="K48" s="20"/>
    </row>
    <row r="49" spans="2:11" s="14" customFormat="1" ht="18" customHeight="1">
      <c r="B49" s="15"/>
      <c r="C49" s="12" t="s">
        <v>7</v>
      </c>
      <c r="D49" s="16"/>
      <c r="E49" s="16"/>
      <c r="F49" s="10" t="str">
        <f>F12</f>
        <v>Česká Třebová</v>
      </c>
      <c r="G49" s="16"/>
      <c r="H49" s="16"/>
      <c r="I49" s="12" t="s">
        <v>9</v>
      </c>
      <c r="J49" s="13">
        <f>IF(J12="","",J12)</f>
        <v>43580</v>
      </c>
      <c r="K49" s="20"/>
    </row>
    <row r="50" spans="2:11" s="14" customFormat="1" ht="6.75" customHeight="1">
      <c r="B50" s="15"/>
      <c r="C50" s="16"/>
      <c r="D50" s="16"/>
      <c r="E50" s="16"/>
      <c r="F50" s="16"/>
      <c r="G50" s="16"/>
      <c r="H50" s="16"/>
      <c r="I50" s="16"/>
      <c r="J50" s="16"/>
      <c r="K50" s="20"/>
    </row>
    <row r="51" spans="2:11" s="14" customFormat="1" ht="15" customHeight="1">
      <c r="B51" s="15"/>
      <c r="C51" s="12" t="s">
        <v>10</v>
      </c>
      <c r="D51" s="16"/>
      <c r="E51" s="16"/>
      <c r="F51" s="10" t="str">
        <f>E15</f>
        <v>Město Česká Třebová</v>
      </c>
      <c r="G51" s="16"/>
      <c r="H51" s="16"/>
      <c r="I51" s="12" t="s">
        <v>16</v>
      </c>
      <c r="J51" s="10" t="str">
        <f>E21</f>
        <v>ADECO spol. s r.o. Česká Třebová</v>
      </c>
      <c r="K51" s="20"/>
    </row>
    <row r="52" spans="2:11" s="14" customFormat="1" ht="14.25" customHeight="1">
      <c r="B52" s="15"/>
      <c r="C52" s="12" t="s">
        <v>14</v>
      </c>
      <c r="D52" s="16"/>
      <c r="E52" s="16"/>
      <c r="F52" s="10">
        <f>IF(E18="","",E18)</f>
      </c>
      <c r="G52" s="16"/>
      <c r="H52" s="16"/>
      <c r="I52" s="16"/>
      <c r="J52" s="16"/>
      <c r="K52" s="20"/>
    </row>
    <row r="53" spans="2:11" s="14" customFormat="1" ht="9.75" customHeight="1">
      <c r="B53" s="15"/>
      <c r="C53" s="16"/>
      <c r="D53" s="16"/>
      <c r="E53" s="16"/>
      <c r="F53" s="16"/>
      <c r="G53" s="16"/>
      <c r="H53" s="16"/>
      <c r="I53" s="16"/>
      <c r="J53" s="16"/>
      <c r="K53" s="20"/>
    </row>
    <row r="54" spans="2:11" s="14" customFormat="1" ht="22.5" customHeight="1">
      <c r="B54" s="15"/>
      <c r="C54" s="87" t="s">
        <v>56</v>
      </c>
      <c r="D54" s="28"/>
      <c r="E54" s="28"/>
      <c r="F54" s="28"/>
      <c r="G54" s="28"/>
      <c r="H54" s="28"/>
      <c r="I54" s="28"/>
      <c r="J54" s="88" t="s">
        <v>57</v>
      </c>
      <c r="K54" s="35"/>
    </row>
    <row r="55" spans="2:11" s="14" customFormat="1" ht="9.75" customHeight="1">
      <c r="B55" s="15"/>
      <c r="C55" s="16"/>
      <c r="D55" s="16"/>
      <c r="E55" s="16"/>
      <c r="F55" s="16"/>
      <c r="G55" s="16"/>
      <c r="H55" s="16"/>
      <c r="I55" s="16"/>
      <c r="J55" s="16"/>
      <c r="K55" s="20"/>
    </row>
    <row r="56" spans="2:47" s="14" customFormat="1" ht="24.75" customHeight="1">
      <c r="B56" s="15"/>
      <c r="C56" s="89" t="s">
        <v>58</v>
      </c>
      <c r="D56" s="16"/>
      <c r="E56" s="16"/>
      <c r="F56" s="16"/>
      <c r="G56" s="16"/>
      <c r="H56" s="16"/>
      <c r="I56" s="16"/>
      <c r="J56" s="55">
        <f>J85</f>
        <v>0</v>
      </c>
      <c r="K56" s="20"/>
      <c r="AU56" s="159" t="s">
        <v>254</v>
      </c>
    </row>
    <row r="57" spans="2:11" s="90" customFormat="1" ht="21" customHeight="1">
      <c r="B57" s="91"/>
      <c r="C57" s="92"/>
      <c r="D57" s="93" t="s">
        <v>255</v>
      </c>
      <c r="E57" s="94"/>
      <c r="F57" s="94"/>
      <c r="G57" s="94"/>
      <c r="H57" s="94"/>
      <c r="I57" s="94"/>
      <c r="J57" s="95">
        <f>J86</f>
        <v>0</v>
      </c>
      <c r="K57" s="96"/>
    </row>
    <row r="58" spans="2:11" s="97" customFormat="1" ht="19.5" customHeight="1">
      <c r="B58" s="98"/>
      <c r="C58" s="99"/>
      <c r="D58" s="100" t="s">
        <v>256</v>
      </c>
      <c r="E58" s="101"/>
      <c r="F58" s="101"/>
      <c r="G58" s="101"/>
      <c r="H58" s="101"/>
      <c r="I58" s="101"/>
      <c r="J58" s="102">
        <f>J87</f>
        <v>0</v>
      </c>
      <c r="K58" s="103"/>
    </row>
    <row r="59" spans="2:11" s="97" customFormat="1" ht="19.5" customHeight="1">
      <c r="B59" s="98"/>
      <c r="C59" s="99"/>
      <c r="D59" s="100" t="s">
        <v>257</v>
      </c>
      <c r="E59" s="101"/>
      <c r="F59" s="101"/>
      <c r="G59" s="101"/>
      <c r="H59" s="101"/>
      <c r="I59" s="101"/>
      <c r="J59" s="102">
        <f>J162</f>
        <v>0</v>
      </c>
      <c r="K59" s="103"/>
    </row>
    <row r="60" spans="2:11" s="97" customFormat="1" ht="19.5" customHeight="1">
      <c r="B60" s="98"/>
      <c r="C60" s="99"/>
      <c r="D60" s="100" t="s">
        <v>258</v>
      </c>
      <c r="E60" s="101"/>
      <c r="F60" s="101"/>
      <c r="G60" s="101"/>
      <c r="H60" s="101"/>
      <c r="I60" s="101"/>
      <c r="J60" s="102">
        <f>J170</f>
        <v>0</v>
      </c>
      <c r="K60" s="103"/>
    </row>
    <row r="61" spans="2:11" s="97" customFormat="1" ht="19.5" customHeight="1">
      <c r="B61" s="98"/>
      <c r="C61" s="99"/>
      <c r="D61" s="100" t="s">
        <v>259</v>
      </c>
      <c r="E61" s="101"/>
      <c r="F61" s="101"/>
      <c r="G61" s="101"/>
      <c r="H61" s="101"/>
      <c r="I61" s="101"/>
      <c r="J61" s="102">
        <f>J174</f>
        <v>0</v>
      </c>
      <c r="K61" s="103"/>
    </row>
    <row r="62" spans="2:11" s="97" customFormat="1" ht="19.5" customHeight="1">
      <c r="B62" s="98"/>
      <c r="C62" s="99"/>
      <c r="D62" s="100" t="s">
        <v>260</v>
      </c>
      <c r="E62" s="101"/>
      <c r="F62" s="101"/>
      <c r="G62" s="101"/>
      <c r="H62" s="101"/>
      <c r="I62" s="101"/>
      <c r="J62" s="102">
        <f>J184</f>
        <v>0</v>
      </c>
      <c r="K62" s="103"/>
    </row>
    <row r="63" spans="2:11" s="97" customFormat="1" ht="19.5" customHeight="1">
      <c r="B63" s="98"/>
      <c r="C63" s="99"/>
      <c r="D63" s="100" t="s">
        <v>261</v>
      </c>
      <c r="E63" s="101"/>
      <c r="F63" s="101"/>
      <c r="G63" s="101"/>
      <c r="H63" s="101"/>
      <c r="I63" s="101"/>
      <c r="J63" s="102">
        <f>J189</f>
        <v>0</v>
      </c>
      <c r="K63" s="103"/>
    </row>
    <row r="64" spans="2:11" s="90" customFormat="1" ht="24.75" customHeight="1">
      <c r="B64" s="91"/>
      <c r="C64" s="92"/>
      <c r="D64" s="93" t="s">
        <v>64</v>
      </c>
      <c r="E64" s="94"/>
      <c r="F64" s="94"/>
      <c r="G64" s="94"/>
      <c r="H64" s="94"/>
      <c r="I64" s="94"/>
      <c r="J64" s="95">
        <f>J202</f>
        <v>0</v>
      </c>
      <c r="K64" s="96"/>
    </row>
    <row r="65" spans="2:11" s="97" customFormat="1" ht="19.5" customHeight="1">
      <c r="B65" s="98"/>
      <c r="C65" s="99"/>
      <c r="D65" s="100" t="s">
        <v>262</v>
      </c>
      <c r="E65" s="101"/>
      <c r="F65" s="101"/>
      <c r="G65" s="101"/>
      <c r="H65" s="101"/>
      <c r="I65" s="101"/>
      <c r="J65" s="102">
        <f>J203</f>
        <v>0</v>
      </c>
      <c r="K65" s="103"/>
    </row>
    <row r="66" spans="2:11" s="14" customFormat="1" ht="18.75" customHeight="1">
      <c r="B66" s="15"/>
      <c r="C66" s="16"/>
      <c r="D66" s="16"/>
      <c r="E66" s="16"/>
      <c r="F66" s="16"/>
      <c r="G66" s="16"/>
      <c r="H66" s="16"/>
      <c r="I66" s="16"/>
      <c r="J66" s="16"/>
      <c r="K66" s="20"/>
    </row>
    <row r="67" spans="2:11" s="14" customFormat="1" ht="6.75" customHeight="1">
      <c r="B67" s="36"/>
      <c r="C67" s="18"/>
      <c r="D67" s="18"/>
      <c r="E67" s="18"/>
      <c r="F67" s="18"/>
      <c r="G67" s="18"/>
      <c r="H67" s="18"/>
      <c r="I67" s="18"/>
      <c r="J67" s="18"/>
      <c r="K67" s="37"/>
    </row>
    <row r="68" ht="6.75" customHeight="1"/>
    <row r="69" ht="6.75" customHeight="1"/>
    <row r="70" ht="6.75" customHeight="1"/>
    <row r="71" spans="2:12" s="14" customFormat="1" ht="6.75" customHeight="1"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</row>
    <row r="72" spans="2:12" s="14" customFormat="1" ht="24" customHeight="1">
      <c r="B72" s="16"/>
      <c r="C72" s="40" t="s">
        <v>67</v>
      </c>
      <c r="K72" s="16"/>
      <c r="L72" s="16"/>
    </row>
    <row r="73" spans="2:12" s="14" customFormat="1" ht="6.75" customHeight="1">
      <c r="B73" s="16"/>
      <c r="K73" s="16"/>
      <c r="L73" s="16"/>
    </row>
    <row r="74" spans="2:12" s="14" customFormat="1" ht="14.25" customHeight="1">
      <c r="B74" s="16"/>
      <c r="C74" s="43" t="s">
        <v>3</v>
      </c>
      <c r="K74" s="16"/>
      <c r="L74" s="16"/>
    </row>
    <row r="75" spans="2:12" s="14" customFormat="1" ht="12.75" customHeight="1">
      <c r="B75" s="16"/>
      <c r="E75" s="12">
        <f>E7</f>
        <v>0</v>
      </c>
      <c r="F75" s="12"/>
      <c r="G75" s="12"/>
      <c r="H75" s="12"/>
      <c r="K75" s="16"/>
      <c r="L75" s="16"/>
    </row>
    <row r="76" spans="2:12" s="14" customFormat="1" ht="14.25" customHeight="1">
      <c r="B76" s="16"/>
      <c r="C76" s="43" t="s">
        <v>51</v>
      </c>
      <c r="K76" s="16"/>
      <c r="L76" s="16"/>
    </row>
    <row r="77" spans="2:12" s="14" customFormat="1" ht="23.25" customHeight="1">
      <c r="B77" s="16"/>
      <c r="E77" s="47" t="str">
        <f>E9</f>
        <v>SO - 01 - Zemní práce</v>
      </c>
      <c r="F77" s="47"/>
      <c r="G77" s="47"/>
      <c r="H77" s="47"/>
      <c r="K77" s="16"/>
      <c r="L77" s="16"/>
    </row>
    <row r="78" spans="2:12" s="14" customFormat="1" ht="6.75" customHeight="1">
      <c r="B78" s="16"/>
      <c r="K78" s="16"/>
      <c r="L78" s="16"/>
    </row>
    <row r="79" spans="2:12" s="14" customFormat="1" ht="18" customHeight="1">
      <c r="B79" s="16"/>
      <c r="C79" s="43" t="s">
        <v>7</v>
      </c>
      <c r="F79" s="104" t="str">
        <f>F12</f>
        <v>Česká Třebová</v>
      </c>
      <c r="I79" s="43" t="s">
        <v>9</v>
      </c>
      <c r="J79" s="105">
        <f>IF(J12="","",J12)</f>
        <v>43580</v>
      </c>
      <c r="K79" s="16"/>
      <c r="L79" s="16"/>
    </row>
    <row r="80" spans="2:12" s="14" customFormat="1" ht="6.75" customHeight="1">
      <c r="B80" s="16"/>
      <c r="K80" s="16"/>
      <c r="L80" s="16"/>
    </row>
    <row r="81" spans="2:12" s="14" customFormat="1" ht="15" customHeight="1">
      <c r="B81" s="16"/>
      <c r="C81" s="43" t="s">
        <v>10</v>
      </c>
      <c r="F81" s="104" t="str">
        <f>E15</f>
        <v>Město Česká Třebová</v>
      </c>
      <c r="I81" s="43" t="s">
        <v>16</v>
      </c>
      <c r="J81" s="104" t="str">
        <f>E21</f>
        <v>ADECO spol. s r.o. Česká Třebová</v>
      </c>
      <c r="K81" s="16"/>
      <c r="L81" s="16"/>
    </row>
    <row r="82" spans="2:12" s="14" customFormat="1" ht="14.25" customHeight="1">
      <c r="B82" s="16"/>
      <c r="C82" s="43" t="s">
        <v>14</v>
      </c>
      <c r="F82" s="104">
        <f>IF(E18="","",E18)</f>
      </c>
      <c r="K82" s="16"/>
      <c r="L82" s="16"/>
    </row>
    <row r="83" spans="2:12" s="14" customFormat="1" ht="7.5" customHeight="1">
      <c r="B83" s="16"/>
      <c r="K83" s="16"/>
      <c r="L83" s="16"/>
    </row>
    <row r="84" spans="2:20" s="106" customFormat="1" ht="29.25" customHeight="1">
      <c r="B84" s="107"/>
      <c r="C84" s="108" t="s">
        <v>68</v>
      </c>
      <c r="D84" s="109" t="s">
        <v>37</v>
      </c>
      <c r="E84" s="109" t="s">
        <v>33</v>
      </c>
      <c r="F84" s="109" t="s">
        <v>69</v>
      </c>
      <c r="G84" s="109" t="s">
        <v>70</v>
      </c>
      <c r="H84" s="109" t="s">
        <v>71</v>
      </c>
      <c r="I84" s="110" t="s">
        <v>72</v>
      </c>
      <c r="J84" s="109" t="s">
        <v>57</v>
      </c>
      <c r="K84" s="162" t="s">
        <v>73</v>
      </c>
      <c r="L84" s="107"/>
      <c r="M84" s="163" t="s">
        <v>263</v>
      </c>
      <c r="N84" s="164" t="s">
        <v>23</v>
      </c>
      <c r="O84" s="164"/>
      <c r="P84" s="164"/>
      <c r="Q84" s="164"/>
      <c r="R84" s="164"/>
      <c r="S84" s="164"/>
      <c r="T84" s="165"/>
    </row>
    <row r="85" spans="2:63" s="14" customFormat="1" ht="25.5" customHeight="1">
      <c r="B85" s="16"/>
      <c r="C85" s="52" t="s">
        <v>58</v>
      </c>
      <c r="J85" s="113">
        <f>BK85</f>
        <v>0</v>
      </c>
      <c r="K85" s="16"/>
      <c r="L85" s="16"/>
      <c r="M85" s="166"/>
      <c r="N85" s="78"/>
      <c r="O85" s="78"/>
      <c r="P85" s="167"/>
      <c r="Q85" s="78"/>
      <c r="R85" s="167"/>
      <c r="S85" s="78"/>
      <c r="T85" s="168"/>
      <c r="AT85" s="159" t="s">
        <v>74</v>
      </c>
      <c r="AU85" s="159" t="s">
        <v>254</v>
      </c>
      <c r="BK85" s="169">
        <f>BK86+BK202</f>
        <v>0</v>
      </c>
    </row>
    <row r="86" spans="2:63" s="114" customFormat="1" ht="27.75" customHeight="1">
      <c r="B86" s="115"/>
      <c r="D86" s="136" t="s">
        <v>74</v>
      </c>
      <c r="E86" s="137" t="s">
        <v>154</v>
      </c>
      <c r="F86" s="137" t="s">
        <v>264</v>
      </c>
      <c r="J86" s="138">
        <f>BK86</f>
        <v>0</v>
      </c>
      <c r="K86" s="115"/>
      <c r="L86" s="115"/>
      <c r="M86" s="170"/>
      <c r="N86" s="115"/>
      <c r="O86" s="115"/>
      <c r="P86" s="171"/>
      <c r="Q86" s="115"/>
      <c r="R86" s="171"/>
      <c r="S86" s="115"/>
      <c r="T86" s="172"/>
      <c r="AR86" s="136" t="s">
        <v>77</v>
      </c>
      <c r="AT86" s="173" t="s">
        <v>74</v>
      </c>
      <c r="AU86" s="173" t="s">
        <v>265</v>
      </c>
      <c r="AY86" s="136" t="s">
        <v>266</v>
      </c>
      <c r="BK86" s="174">
        <f>BK87+BK162+BK170+BK174+BK184+BK189</f>
        <v>0</v>
      </c>
    </row>
    <row r="87" spans="2:63" s="114" customFormat="1" ht="19.5" customHeight="1">
      <c r="B87" s="115"/>
      <c r="D87" s="116" t="s">
        <v>74</v>
      </c>
      <c r="E87" s="139" t="s">
        <v>77</v>
      </c>
      <c r="F87" s="139" t="s">
        <v>267</v>
      </c>
      <c r="J87" s="140">
        <f>BK87</f>
        <v>0</v>
      </c>
      <c r="K87" s="115"/>
      <c r="L87" s="115"/>
      <c r="M87" s="170"/>
      <c r="N87" s="115"/>
      <c r="O87" s="115"/>
      <c r="P87" s="171"/>
      <c r="Q87" s="115"/>
      <c r="R87" s="171"/>
      <c r="S87" s="115"/>
      <c r="T87" s="172"/>
      <c r="AR87" s="136" t="s">
        <v>77</v>
      </c>
      <c r="AT87" s="173" t="s">
        <v>74</v>
      </c>
      <c r="AU87" s="173" t="s">
        <v>77</v>
      </c>
      <c r="AY87" s="136" t="s">
        <v>266</v>
      </c>
      <c r="BK87" s="174">
        <f>SUM(BK88:BK161)</f>
        <v>0</v>
      </c>
    </row>
    <row r="88" spans="2:65" s="14" customFormat="1" ht="22.5" customHeight="1">
      <c r="B88" s="120"/>
      <c r="C88" s="121" t="s">
        <v>77</v>
      </c>
      <c r="D88" s="121" t="s">
        <v>78</v>
      </c>
      <c r="E88" s="122" t="s">
        <v>268</v>
      </c>
      <c r="F88" s="123" t="s">
        <v>269</v>
      </c>
      <c r="G88" s="124" t="s">
        <v>270</v>
      </c>
      <c r="H88" s="125">
        <f>H90</f>
        <v>82.6</v>
      </c>
      <c r="I88" s="126">
        <v>0</v>
      </c>
      <c r="J88" s="126">
        <f>ROUND(I88*H88,2)</f>
        <v>0</v>
      </c>
      <c r="K88" s="175"/>
      <c r="L88" s="16"/>
      <c r="M88" s="176"/>
      <c r="N88" s="177" t="s">
        <v>24</v>
      </c>
      <c r="O88" s="178"/>
      <c r="P88" s="178"/>
      <c r="Q88" s="178"/>
      <c r="R88" s="178"/>
      <c r="S88" s="178"/>
      <c r="T88" s="179"/>
      <c r="AR88" s="159" t="s">
        <v>90</v>
      </c>
      <c r="AT88" s="159" t="s">
        <v>78</v>
      </c>
      <c r="AU88" s="159" t="s">
        <v>83</v>
      </c>
      <c r="AY88" s="159" t="s">
        <v>266</v>
      </c>
      <c r="BE88" s="180">
        <f>IF(N88="základní",J88,0)</f>
        <v>0</v>
      </c>
      <c r="BF88" s="180">
        <f>IF(N88="snížená",J88,0)</f>
        <v>0</v>
      </c>
      <c r="BG88" s="180">
        <f>IF(N88="zákl. přenesená",J88,0)</f>
        <v>0</v>
      </c>
      <c r="BH88" s="180">
        <f>IF(N88="sníž. přenesená",J88,0)</f>
        <v>0</v>
      </c>
      <c r="BI88" s="180">
        <f>IF(N88="nulová",J88,0)</f>
        <v>0</v>
      </c>
      <c r="BJ88" s="159" t="s">
        <v>77</v>
      </c>
      <c r="BK88" s="180">
        <f>ROUND(I88*H88,2)</f>
        <v>0</v>
      </c>
      <c r="BL88" s="159" t="s">
        <v>90</v>
      </c>
      <c r="BM88" s="159" t="s">
        <v>271</v>
      </c>
    </row>
    <row r="89" spans="2:47" s="14" customFormat="1" ht="13.5" customHeight="1">
      <c r="B89" s="16"/>
      <c r="D89" s="127" t="s">
        <v>82</v>
      </c>
      <c r="F89" s="128" t="s">
        <v>272</v>
      </c>
      <c r="K89" s="16"/>
      <c r="L89" s="16"/>
      <c r="M89" s="181"/>
      <c r="N89" s="16"/>
      <c r="O89" s="16"/>
      <c r="P89" s="16"/>
      <c r="Q89" s="16"/>
      <c r="R89" s="16"/>
      <c r="S89" s="16"/>
      <c r="T89" s="182"/>
      <c r="AT89" s="159" t="s">
        <v>82</v>
      </c>
      <c r="AU89" s="159" t="s">
        <v>83</v>
      </c>
    </row>
    <row r="90" spans="2:51" s="183" customFormat="1" ht="13.5" customHeight="1">
      <c r="B90" s="184"/>
      <c r="D90" s="127" t="s">
        <v>194</v>
      </c>
      <c r="E90" s="185"/>
      <c r="F90" s="186" t="s">
        <v>273</v>
      </c>
      <c r="H90" s="187">
        <f>(196*0.35+14*1*1)</f>
        <v>82.6</v>
      </c>
      <c r="K90" s="184"/>
      <c r="L90" s="184"/>
      <c r="M90" s="188"/>
      <c r="N90" s="184"/>
      <c r="O90" s="184"/>
      <c r="P90" s="184"/>
      <c r="Q90" s="184"/>
      <c r="R90" s="184"/>
      <c r="S90" s="184"/>
      <c r="T90" s="189"/>
      <c r="AT90" s="190" t="s">
        <v>194</v>
      </c>
      <c r="AU90" s="190" t="s">
        <v>83</v>
      </c>
      <c r="AV90" s="183" t="s">
        <v>83</v>
      </c>
      <c r="AW90" s="183" t="s">
        <v>274</v>
      </c>
      <c r="AX90" s="183" t="s">
        <v>77</v>
      </c>
      <c r="AY90" s="190" t="s">
        <v>266</v>
      </c>
    </row>
    <row r="91" spans="2:51" s="183" customFormat="1" ht="13.5" customHeight="1">
      <c r="B91" s="184"/>
      <c r="D91" s="127" t="s">
        <v>194</v>
      </c>
      <c r="E91" s="185"/>
      <c r="F91" s="186">
        <v>0</v>
      </c>
      <c r="H91" s="187">
        <v>0</v>
      </c>
      <c r="K91" s="184"/>
      <c r="L91" s="184"/>
      <c r="M91" s="188"/>
      <c r="N91" s="184"/>
      <c r="O91" s="184"/>
      <c r="P91" s="184"/>
      <c r="Q91" s="184"/>
      <c r="R91" s="184"/>
      <c r="S91" s="184"/>
      <c r="T91" s="189"/>
      <c r="AT91" s="190" t="s">
        <v>194</v>
      </c>
      <c r="AU91" s="190" t="s">
        <v>83</v>
      </c>
      <c r="AV91" s="183" t="s">
        <v>83</v>
      </c>
      <c r="AW91" s="183" t="s">
        <v>274</v>
      </c>
      <c r="AX91" s="183" t="s">
        <v>77</v>
      </c>
      <c r="AY91" s="190" t="s">
        <v>266</v>
      </c>
    </row>
    <row r="92" spans="2:65" s="14" customFormat="1" ht="22.5" customHeight="1">
      <c r="B92" s="120"/>
      <c r="C92" s="121" t="s">
        <v>83</v>
      </c>
      <c r="D92" s="121" t="s">
        <v>78</v>
      </c>
      <c r="E92" s="122" t="s">
        <v>275</v>
      </c>
      <c r="F92" s="123" t="s">
        <v>276</v>
      </c>
      <c r="G92" s="124" t="s">
        <v>270</v>
      </c>
      <c r="H92" s="125">
        <f>H94</f>
        <v>3.5</v>
      </c>
      <c r="I92" s="126">
        <v>0</v>
      </c>
      <c r="J92" s="126">
        <f>ROUND(I92*H92,2)</f>
        <v>0</v>
      </c>
      <c r="K92" s="175"/>
      <c r="L92" s="16"/>
      <c r="M92" s="176"/>
      <c r="N92" s="177" t="s">
        <v>24</v>
      </c>
      <c r="O92" s="178"/>
      <c r="P92" s="178"/>
      <c r="Q92" s="178"/>
      <c r="R92" s="178"/>
      <c r="S92" s="178"/>
      <c r="T92" s="179"/>
      <c r="AR92" s="159" t="s">
        <v>90</v>
      </c>
      <c r="AT92" s="159" t="s">
        <v>78</v>
      </c>
      <c r="AU92" s="159" t="s">
        <v>83</v>
      </c>
      <c r="AY92" s="159" t="s">
        <v>266</v>
      </c>
      <c r="BE92" s="180">
        <f>IF(N92="základní",J92,0)</f>
        <v>0</v>
      </c>
      <c r="BF92" s="180">
        <f>IF(N92="snížená",J92,0)</f>
        <v>0</v>
      </c>
      <c r="BG92" s="180">
        <f>IF(N92="zákl. přenesená",J92,0)</f>
        <v>0</v>
      </c>
      <c r="BH92" s="180">
        <f>IF(N92="sníž. přenesená",J92,0)</f>
        <v>0</v>
      </c>
      <c r="BI92" s="180">
        <f>IF(N92="nulová",J92,0)</f>
        <v>0</v>
      </c>
      <c r="BJ92" s="159" t="s">
        <v>77</v>
      </c>
      <c r="BK92" s="180">
        <f>ROUND(I92*H92,2)</f>
        <v>0</v>
      </c>
      <c r="BL92" s="159" t="s">
        <v>90</v>
      </c>
      <c r="BM92" s="159" t="s">
        <v>277</v>
      </c>
    </row>
    <row r="93" spans="2:47" s="14" customFormat="1" ht="40.5" customHeight="1">
      <c r="B93" s="16"/>
      <c r="D93" s="131" t="s">
        <v>82</v>
      </c>
      <c r="F93" s="132" t="s">
        <v>278</v>
      </c>
      <c r="K93" s="16"/>
      <c r="L93" s="16"/>
      <c r="M93" s="181"/>
      <c r="N93" s="16"/>
      <c r="O93" s="16"/>
      <c r="P93" s="16"/>
      <c r="Q93" s="16"/>
      <c r="R93" s="16"/>
      <c r="S93" s="16"/>
      <c r="T93" s="182"/>
      <c r="AT93" s="159" t="s">
        <v>82</v>
      </c>
      <c r="AU93" s="159" t="s">
        <v>83</v>
      </c>
    </row>
    <row r="94" spans="2:51" s="183" customFormat="1" ht="13.5" customHeight="1">
      <c r="B94" s="184"/>
      <c r="D94" s="127" t="s">
        <v>194</v>
      </c>
      <c r="E94" s="185"/>
      <c r="F94" s="186" t="s">
        <v>279</v>
      </c>
      <c r="H94" s="187">
        <f>(7*0.5)</f>
        <v>3.5</v>
      </c>
      <c r="K94" s="184"/>
      <c r="L94" s="184"/>
      <c r="M94" s="188"/>
      <c r="N94" s="184"/>
      <c r="O94" s="184"/>
      <c r="P94" s="184"/>
      <c r="Q94" s="184"/>
      <c r="R94" s="184"/>
      <c r="S94" s="184"/>
      <c r="T94" s="189"/>
      <c r="AT94" s="190" t="s">
        <v>194</v>
      </c>
      <c r="AU94" s="190" t="s">
        <v>83</v>
      </c>
      <c r="AV94" s="183" t="s">
        <v>83</v>
      </c>
      <c r="AW94" s="183" t="s">
        <v>274</v>
      </c>
      <c r="AX94" s="183" t="s">
        <v>77</v>
      </c>
      <c r="AY94" s="190" t="s">
        <v>266</v>
      </c>
    </row>
    <row r="95" spans="2:65" s="14" customFormat="1" ht="19.5" customHeight="1">
      <c r="B95" s="120"/>
      <c r="C95" s="121" t="s">
        <v>87</v>
      </c>
      <c r="D95" s="121" t="s">
        <v>78</v>
      </c>
      <c r="E95" s="191" t="s">
        <v>280</v>
      </c>
      <c r="F95" s="123" t="s">
        <v>281</v>
      </c>
      <c r="G95" s="124" t="s">
        <v>86</v>
      </c>
      <c r="H95" s="125">
        <v>28</v>
      </c>
      <c r="I95" s="126">
        <v>0</v>
      </c>
      <c r="J95" s="126">
        <f>ROUND(I95*H95,2)</f>
        <v>0</v>
      </c>
      <c r="K95" s="175"/>
      <c r="L95" s="16"/>
      <c r="M95" s="176"/>
      <c r="N95" s="177" t="s">
        <v>24</v>
      </c>
      <c r="O95" s="178"/>
      <c r="P95" s="178"/>
      <c r="Q95" s="178"/>
      <c r="R95" s="178"/>
      <c r="S95" s="178"/>
      <c r="T95" s="179"/>
      <c r="AR95" s="159" t="s">
        <v>90</v>
      </c>
      <c r="AT95" s="159" t="s">
        <v>78</v>
      </c>
      <c r="AU95" s="159" t="s">
        <v>83</v>
      </c>
      <c r="AY95" s="159" t="s">
        <v>266</v>
      </c>
      <c r="BE95" s="180">
        <f>IF(N95="základní",J95,0)</f>
        <v>0</v>
      </c>
      <c r="BF95" s="180">
        <f>IF(N95="snížená",J95,0)</f>
        <v>0</v>
      </c>
      <c r="BG95" s="180">
        <f>IF(N95="zákl. přenesená",J95,0)</f>
        <v>0</v>
      </c>
      <c r="BH95" s="180">
        <f>IF(N95="sníž. přenesená",J95,0)</f>
        <v>0</v>
      </c>
      <c r="BI95" s="180">
        <f>IF(N95="nulová",J95,0)</f>
        <v>0</v>
      </c>
      <c r="BJ95" s="159" t="s">
        <v>77</v>
      </c>
      <c r="BK95" s="180">
        <f>ROUND(I95*H95,2)</f>
        <v>0</v>
      </c>
      <c r="BL95" s="159" t="s">
        <v>90</v>
      </c>
      <c r="BM95" s="159" t="s">
        <v>282</v>
      </c>
    </row>
    <row r="96" spans="2:47" s="14" customFormat="1" ht="48" customHeight="1">
      <c r="B96" s="16"/>
      <c r="D96" s="127" t="s">
        <v>82</v>
      </c>
      <c r="F96" s="128" t="s">
        <v>283</v>
      </c>
      <c r="K96" s="16"/>
      <c r="L96" s="16"/>
      <c r="M96" s="181"/>
      <c r="N96" s="16"/>
      <c r="O96" s="16"/>
      <c r="P96" s="16"/>
      <c r="Q96" s="16"/>
      <c r="R96" s="16"/>
      <c r="S96" s="16"/>
      <c r="T96" s="182"/>
      <c r="AT96" s="159" t="s">
        <v>82</v>
      </c>
      <c r="AU96" s="159" t="s">
        <v>83</v>
      </c>
    </row>
    <row r="97" spans="2:65" s="14" customFormat="1" ht="31.5" customHeight="1">
      <c r="B97" s="120"/>
      <c r="C97" s="121" t="s">
        <v>90</v>
      </c>
      <c r="D97" s="121" t="s">
        <v>78</v>
      </c>
      <c r="E97" s="122" t="s">
        <v>284</v>
      </c>
      <c r="F97" s="123" t="s">
        <v>285</v>
      </c>
      <c r="G97" s="124" t="s">
        <v>86</v>
      </c>
      <c r="H97" s="125">
        <v>650</v>
      </c>
      <c r="I97" s="126">
        <v>0</v>
      </c>
      <c r="J97" s="126">
        <f>ROUND(I97*H97,2)</f>
        <v>0</v>
      </c>
      <c r="K97" s="175"/>
      <c r="L97" s="16"/>
      <c r="M97" s="176"/>
      <c r="N97" s="177" t="s">
        <v>24</v>
      </c>
      <c r="O97" s="178"/>
      <c r="P97" s="178"/>
      <c r="Q97" s="178"/>
      <c r="R97" s="178"/>
      <c r="S97" s="178"/>
      <c r="T97" s="179"/>
      <c r="AR97" s="159" t="s">
        <v>90</v>
      </c>
      <c r="AT97" s="159" t="s">
        <v>78</v>
      </c>
      <c r="AU97" s="159" t="s">
        <v>83</v>
      </c>
      <c r="AY97" s="159" t="s">
        <v>266</v>
      </c>
      <c r="BE97" s="180">
        <f>IF(N97="základní",J97,0)</f>
        <v>0</v>
      </c>
      <c r="BF97" s="180">
        <f>IF(N97="snížená",J97,0)</f>
        <v>0</v>
      </c>
      <c r="BG97" s="180">
        <f>IF(N97="zákl. přenesená",J97,0)</f>
        <v>0</v>
      </c>
      <c r="BH97" s="180">
        <f>IF(N97="sníž. přenesená",J97,0)</f>
        <v>0</v>
      </c>
      <c r="BI97" s="180">
        <f>IF(N97="nulová",J97,0)</f>
        <v>0</v>
      </c>
      <c r="BJ97" s="159" t="s">
        <v>77</v>
      </c>
      <c r="BK97" s="180">
        <f>ROUND(I97*H97,2)</f>
        <v>0</v>
      </c>
      <c r="BL97" s="159" t="s">
        <v>90</v>
      </c>
      <c r="BM97" s="159" t="s">
        <v>286</v>
      </c>
    </row>
    <row r="98" spans="2:47" s="14" customFormat="1" ht="13.5" customHeight="1">
      <c r="B98" s="16"/>
      <c r="D98" s="127" t="s">
        <v>82</v>
      </c>
      <c r="F98" s="128" t="s">
        <v>287</v>
      </c>
      <c r="K98" s="16"/>
      <c r="L98" s="16"/>
      <c r="M98" s="181"/>
      <c r="N98" s="16"/>
      <c r="O98" s="16"/>
      <c r="P98" s="16"/>
      <c r="Q98" s="16"/>
      <c r="R98" s="16"/>
      <c r="S98" s="16"/>
      <c r="T98" s="182"/>
      <c r="AT98" s="159" t="s">
        <v>82</v>
      </c>
      <c r="AU98" s="159" t="s">
        <v>83</v>
      </c>
    </row>
    <row r="99" spans="2:65" s="14" customFormat="1" ht="22.5" customHeight="1">
      <c r="B99" s="120"/>
      <c r="C99" s="121" t="s">
        <v>93</v>
      </c>
      <c r="D99" s="121" t="s">
        <v>78</v>
      </c>
      <c r="E99" s="122" t="s">
        <v>288</v>
      </c>
      <c r="F99" s="123" t="s">
        <v>289</v>
      </c>
      <c r="G99" s="124" t="s">
        <v>86</v>
      </c>
      <c r="H99" s="125">
        <v>650</v>
      </c>
      <c r="I99" s="126">
        <v>0</v>
      </c>
      <c r="J99" s="126">
        <f>ROUND(I99*H99,2)</f>
        <v>0</v>
      </c>
      <c r="K99" s="175"/>
      <c r="L99" s="16"/>
      <c r="M99" s="176"/>
      <c r="N99" s="177" t="s">
        <v>24</v>
      </c>
      <c r="O99" s="178"/>
      <c r="P99" s="178"/>
      <c r="Q99" s="178"/>
      <c r="R99" s="178"/>
      <c r="S99" s="178"/>
      <c r="T99" s="179"/>
      <c r="AR99" s="159" t="s">
        <v>90</v>
      </c>
      <c r="AT99" s="159" t="s">
        <v>78</v>
      </c>
      <c r="AU99" s="159" t="s">
        <v>83</v>
      </c>
      <c r="AY99" s="159" t="s">
        <v>266</v>
      </c>
      <c r="BE99" s="180">
        <f>IF(N99="základní",J99,0)</f>
        <v>0</v>
      </c>
      <c r="BF99" s="180">
        <f>IF(N99="snížená",J99,0)</f>
        <v>0</v>
      </c>
      <c r="BG99" s="180">
        <f>IF(N99="zákl. přenesená",J99,0)</f>
        <v>0</v>
      </c>
      <c r="BH99" s="180">
        <f>IF(N99="sníž. přenesená",J99,0)</f>
        <v>0</v>
      </c>
      <c r="BI99" s="180">
        <f>IF(N99="nulová",J99,0)</f>
        <v>0</v>
      </c>
      <c r="BJ99" s="159" t="s">
        <v>77</v>
      </c>
      <c r="BK99" s="180">
        <f>ROUND(I99*H99,2)</f>
        <v>0</v>
      </c>
      <c r="BL99" s="159" t="s">
        <v>90</v>
      </c>
      <c r="BM99" s="159" t="s">
        <v>290</v>
      </c>
    </row>
    <row r="100" spans="2:47" s="14" customFormat="1" ht="13.5" customHeight="1">
      <c r="B100" s="16"/>
      <c r="D100" s="127" t="s">
        <v>82</v>
      </c>
      <c r="F100" s="128" t="s">
        <v>291</v>
      </c>
      <c r="K100" s="16"/>
      <c r="L100" s="16"/>
      <c r="M100" s="181"/>
      <c r="N100" s="16"/>
      <c r="O100" s="16"/>
      <c r="P100" s="16"/>
      <c r="Q100" s="16"/>
      <c r="R100" s="16"/>
      <c r="S100" s="16"/>
      <c r="T100" s="182"/>
      <c r="AT100" s="159" t="s">
        <v>82</v>
      </c>
      <c r="AU100" s="159" t="s">
        <v>83</v>
      </c>
    </row>
    <row r="101" spans="2:65" s="14" customFormat="1" ht="22.5" customHeight="1">
      <c r="B101" s="120"/>
      <c r="C101" s="121" t="s">
        <v>96</v>
      </c>
      <c r="D101" s="121" t="s">
        <v>78</v>
      </c>
      <c r="E101" s="122" t="s">
        <v>292</v>
      </c>
      <c r="F101" s="123" t="s">
        <v>293</v>
      </c>
      <c r="G101" s="124" t="s">
        <v>193</v>
      </c>
      <c r="H101" s="125">
        <f>H103</f>
        <v>27.680000000000003</v>
      </c>
      <c r="I101" s="126">
        <v>0</v>
      </c>
      <c r="J101" s="126">
        <f>ROUND(I101*H101,2)</f>
        <v>0</v>
      </c>
      <c r="K101" s="175"/>
      <c r="L101" s="16"/>
      <c r="M101" s="176"/>
      <c r="N101" s="177" t="s">
        <v>24</v>
      </c>
      <c r="O101" s="178"/>
      <c r="P101" s="178"/>
      <c r="Q101" s="178"/>
      <c r="R101" s="178"/>
      <c r="S101" s="178"/>
      <c r="T101" s="179"/>
      <c r="AR101" s="159" t="s">
        <v>90</v>
      </c>
      <c r="AT101" s="159" t="s">
        <v>78</v>
      </c>
      <c r="AU101" s="159" t="s">
        <v>83</v>
      </c>
      <c r="AY101" s="159" t="s">
        <v>266</v>
      </c>
      <c r="BE101" s="180">
        <f>IF(N101="základní",J101,0)</f>
        <v>0</v>
      </c>
      <c r="BF101" s="180">
        <f>IF(N101="snížená",J101,0)</f>
        <v>0</v>
      </c>
      <c r="BG101" s="180">
        <f>IF(N101="zákl. přenesená",J101,0)</f>
        <v>0</v>
      </c>
      <c r="BH101" s="180">
        <f>IF(N101="sníž. přenesená",J101,0)</f>
        <v>0</v>
      </c>
      <c r="BI101" s="180">
        <f>IF(N101="nulová",J101,0)</f>
        <v>0</v>
      </c>
      <c r="BJ101" s="159" t="s">
        <v>77</v>
      </c>
      <c r="BK101" s="180">
        <f>ROUND(I101*H101,2)</f>
        <v>0</v>
      </c>
      <c r="BL101" s="159" t="s">
        <v>90</v>
      </c>
      <c r="BM101" s="159" t="s">
        <v>294</v>
      </c>
    </row>
    <row r="102" spans="2:47" s="14" customFormat="1" ht="27" customHeight="1">
      <c r="B102" s="16"/>
      <c r="D102" s="127" t="s">
        <v>82</v>
      </c>
      <c r="F102" s="128" t="s">
        <v>295</v>
      </c>
      <c r="K102" s="16"/>
      <c r="L102" s="16"/>
      <c r="M102" s="181"/>
      <c r="N102" s="16"/>
      <c r="O102" s="16"/>
      <c r="P102" s="16"/>
      <c r="Q102" s="16"/>
      <c r="R102" s="16"/>
      <c r="S102" s="16"/>
      <c r="T102" s="182"/>
      <c r="AT102" s="159" t="s">
        <v>82</v>
      </c>
      <c r="AU102" s="159" t="s">
        <v>83</v>
      </c>
    </row>
    <row r="103" spans="2:51" s="183" customFormat="1" ht="13.5" customHeight="1">
      <c r="B103" s="184"/>
      <c r="D103" s="127" t="s">
        <v>194</v>
      </c>
      <c r="E103" s="185"/>
      <c r="F103" s="186" t="s">
        <v>296</v>
      </c>
      <c r="H103" s="187">
        <f>(14*1*1*1.2+8*1*1*1.3+2*0.6*0.5*0.8)</f>
        <v>27.680000000000003</v>
      </c>
      <c r="K103" s="184"/>
      <c r="L103" s="184"/>
      <c r="M103" s="188"/>
      <c r="N103" s="184"/>
      <c r="O103" s="184"/>
      <c r="P103" s="184"/>
      <c r="Q103" s="184"/>
      <c r="R103" s="184"/>
      <c r="S103" s="184"/>
      <c r="T103" s="189"/>
      <c r="AT103" s="190" t="s">
        <v>194</v>
      </c>
      <c r="AU103" s="190" t="s">
        <v>83</v>
      </c>
      <c r="AV103" s="183" t="s">
        <v>83</v>
      </c>
      <c r="AW103" s="183" t="s">
        <v>274</v>
      </c>
      <c r="AX103" s="183" t="s">
        <v>77</v>
      </c>
      <c r="AY103" s="190" t="s">
        <v>266</v>
      </c>
    </row>
    <row r="104" spans="2:65" s="14" customFormat="1" ht="22.5" customHeight="1">
      <c r="B104" s="120"/>
      <c r="C104" s="121" t="s">
        <v>99</v>
      </c>
      <c r="D104" s="121" t="s">
        <v>78</v>
      </c>
      <c r="E104" s="192" t="s">
        <v>297</v>
      </c>
      <c r="F104" s="123" t="s">
        <v>298</v>
      </c>
      <c r="G104" s="124" t="s">
        <v>193</v>
      </c>
      <c r="H104" s="125">
        <f>H106</f>
        <v>10.4</v>
      </c>
      <c r="I104" s="126">
        <v>0</v>
      </c>
      <c r="J104" s="126">
        <f>ROUND(I104*H104,2)</f>
        <v>0</v>
      </c>
      <c r="K104" s="175"/>
      <c r="L104" s="16"/>
      <c r="M104" s="176"/>
      <c r="N104" s="177" t="s">
        <v>24</v>
      </c>
      <c r="O104" s="178"/>
      <c r="P104" s="178"/>
      <c r="Q104" s="178"/>
      <c r="R104" s="178"/>
      <c r="S104" s="178"/>
      <c r="T104" s="179"/>
      <c r="AR104" s="159" t="s">
        <v>90</v>
      </c>
      <c r="AT104" s="159" t="s">
        <v>78</v>
      </c>
      <c r="AU104" s="159" t="s">
        <v>83</v>
      </c>
      <c r="AY104" s="159" t="s">
        <v>266</v>
      </c>
      <c r="BE104" s="180">
        <f>IF(N104="základní",J104,0)</f>
        <v>0</v>
      </c>
      <c r="BF104" s="180">
        <f>IF(N104="snížená",J104,0)</f>
        <v>0</v>
      </c>
      <c r="BG104" s="180">
        <f>IF(N104="zákl. přenesená",J104,0)</f>
        <v>0</v>
      </c>
      <c r="BH104" s="180">
        <f>IF(N104="sníž. přenesená",J104,0)</f>
        <v>0</v>
      </c>
      <c r="BI104" s="180">
        <f>IF(N104="nulová",J104,0)</f>
        <v>0</v>
      </c>
      <c r="BJ104" s="159" t="s">
        <v>77</v>
      </c>
      <c r="BK104" s="180">
        <f>ROUND(I104*H104,2)</f>
        <v>0</v>
      </c>
      <c r="BL104" s="159" t="s">
        <v>90</v>
      </c>
      <c r="BM104" s="159" t="s">
        <v>294</v>
      </c>
    </row>
    <row r="105" spans="2:47" s="14" customFormat="1" ht="27" customHeight="1">
      <c r="B105" s="16"/>
      <c r="D105" s="127" t="s">
        <v>82</v>
      </c>
      <c r="F105" s="128" t="s">
        <v>295</v>
      </c>
      <c r="K105" s="16"/>
      <c r="L105" s="16"/>
      <c r="M105" s="181"/>
      <c r="N105" s="16"/>
      <c r="O105" s="16"/>
      <c r="P105" s="16"/>
      <c r="Q105" s="16"/>
      <c r="R105" s="16"/>
      <c r="S105" s="16"/>
      <c r="T105" s="182"/>
      <c r="AT105" s="159" t="s">
        <v>82</v>
      </c>
      <c r="AU105" s="159" t="s">
        <v>83</v>
      </c>
    </row>
    <row r="106" spans="2:51" s="183" customFormat="1" ht="13.5" customHeight="1">
      <c r="B106" s="184"/>
      <c r="D106" s="127" t="s">
        <v>194</v>
      </c>
      <c r="E106" s="185"/>
      <c r="F106" s="186" t="s">
        <v>299</v>
      </c>
      <c r="H106" s="187">
        <f>(8*1*1*1.3)</f>
        <v>10.4</v>
      </c>
      <c r="K106" s="184"/>
      <c r="L106" s="184"/>
      <c r="M106" s="188"/>
      <c r="N106" s="184"/>
      <c r="O106" s="184"/>
      <c r="P106" s="184"/>
      <c r="Q106" s="184"/>
      <c r="R106" s="184"/>
      <c r="S106" s="184"/>
      <c r="T106" s="189"/>
      <c r="AT106" s="190" t="s">
        <v>194</v>
      </c>
      <c r="AU106" s="190" t="s">
        <v>83</v>
      </c>
      <c r="AV106" s="183" t="s">
        <v>83</v>
      </c>
      <c r="AW106" s="183" t="s">
        <v>274</v>
      </c>
      <c r="AX106" s="183" t="s">
        <v>77</v>
      </c>
      <c r="AY106" s="190" t="s">
        <v>266</v>
      </c>
    </row>
    <row r="107" spans="2:65" s="14" customFormat="1" ht="22.5" customHeight="1">
      <c r="B107" s="120"/>
      <c r="C107" s="121" t="s">
        <v>102</v>
      </c>
      <c r="D107" s="121" t="s">
        <v>78</v>
      </c>
      <c r="E107" s="122" t="s">
        <v>300</v>
      </c>
      <c r="F107" s="123" t="s">
        <v>301</v>
      </c>
      <c r="G107" s="124" t="s">
        <v>193</v>
      </c>
      <c r="H107" s="125">
        <f>H110</f>
        <v>70.63</v>
      </c>
      <c r="I107" s="126">
        <v>0</v>
      </c>
      <c r="J107" s="126">
        <f>ROUND(I107*H107,2)</f>
        <v>0</v>
      </c>
      <c r="K107" s="175"/>
      <c r="L107" s="16"/>
      <c r="M107" s="176"/>
      <c r="N107" s="177" t="s">
        <v>24</v>
      </c>
      <c r="O107" s="178"/>
      <c r="P107" s="178"/>
      <c r="Q107" s="178"/>
      <c r="R107" s="178"/>
      <c r="S107" s="178"/>
      <c r="T107" s="179"/>
      <c r="AR107" s="159" t="s">
        <v>90</v>
      </c>
      <c r="AT107" s="159" t="s">
        <v>78</v>
      </c>
      <c r="AU107" s="159" t="s">
        <v>83</v>
      </c>
      <c r="AY107" s="159" t="s">
        <v>266</v>
      </c>
      <c r="BE107" s="180">
        <f>IF(N107="základní",J107,0)</f>
        <v>0</v>
      </c>
      <c r="BF107" s="180">
        <f>IF(N107="snížená",J107,0)</f>
        <v>0</v>
      </c>
      <c r="BG107" s="180">
        <f>IF(N107="zákl. přenesená",J107,0)</f>
        <v>0</v>
      </c>
      <c r="BH107" s="180">
        <f>IF(N107="sníž. přenesená",J107,0)</f>
        <v>0</v>
      </c>
      <c r="BI107" s="180">
        <f>IF(N107="nulová",J107,0)</f>
        <v>0</v>
      </c>
      <c r="BJ107" s="159" t="s">
        <v>77</v>
      </c>
      <c r="BK107" s="180">
        <f>ROUND(I107*H107,2)</f>
        <v>0</v>
      </c>
      <c r="BL107" s="159" t="s">
        <v>90</v>
      </c>
      <c r="BM107" s="159" t="s">
        <v>302</v>
      </c>
    </row>
    <row r="108" spans="2:47" s="14" customFormat="1" ht="27" customHeight="1">
      <c r="B108" s="16"/>
      <c r="D108" s="131" t="s">
        <v>82</v>
      </c>
      <c r="F108" s="132" t="s">
        <v>303</v>
      </c>
      <c r="K108" s="16"/>
      <c r="L108" s="16"/>
      <c r="M108" s="181"/>
      <c r="N108" s="16"/>
      <c r="O108" s="16"/>
      <c r="P108" s="16"/>
      <c r="Q108" s="16"/>
      <c r="R108" s="16"/>
      <c r="S108" s="16"/>
      <c r="T108" s="182"/>
      <c r="AT108" s="159" t="s">
        <v>82</v>
      </c>
      <c r="AU108" s="159" t="s">
        <v>83</v>
      </c>
    </row>
    <row r="109" spans="2:51" s="193" customFormat="1" ht="13.5" customHeight="1">
      <c r="B109" s="194"/>
      <c r="D109" s="131" t="s">
        <v>194</v>
      </c>
      <c r="E109" s="195"/>
      <c r="F109" s="196" t="s">
        <v>304</v>
      </c>
      <c r="H109" s="195"/>
      <c r="K109" s="194"/>
      <c r="L109" s="194"/>
      <c r="M109" s="197"/>
      <c r="N109" s="194"/>
      <c r="O109" s="194"/>
      <c r="P109" s="194"/>
      <c r="Q109" s="194"/>
      <c r="R109" s="194"/>
      <c r="S109" s="194"/>
      <c r="T109" s="198"/>
      <c r="AT109" s="195" t="s">
        <v>194</v>
      </c>
      <c r="AU109" s="195" t="s">
        <v>83</v>
      </c>
      <c r="AV109" s="193" t="s">
        <v>77</v>
      </c>
      <c r="AW109" s="193" t="s">
        <v>274</v>
      </c>
      <c r="AX109" s="193" t="s">
        <v>265</v>
      </c>
      <c r="AY109" s="195" t="s">
        <v>266</v>
      </c>
    </row>
    <row r="110" spans="2:51" s="14" customFormat="1" ht="24.75" customHeight="1">
      <c r="B110" s="16"/>
      <c r="D110" s="149" t="s">
        <v>194</v>
      </c>
      <c r="E110" s="159"/>
      <c r="F110" s="199" t="s">
        <v>305</v>
      </c>
      <c r="H110" s="200">
        <f>(142*0.35*0.7+128*0.35*0.8)</f>
        <v>70.63</v>
      </c>
      <c r="K110" s="16"/>
      <c r="L110" s="16"/>
      <c r="M110" s="181"/>
      <c r="N110" s="16"/>
      <c r="O110" s="16"/>
      <c r="P110" s="16"/>
      <c r="Q110" s="16"/>
      <c r="R110" s="16"/>
      <c r="S110" s="16"/>
      <c r="T110" s="182"/>
      <c r="AT110" s="159" t="s">
        <v>194</v>
      </c>
      <c r="AU110" s="159" t="s">
        <v>83</v>
      </c>
      <c r="AV110" s="14" t="s">
        <v>83</v>
      </c>
      <c r="AW110" s="14" t="s">
        <v>274</v>
      </c>
      <c r="AX110" s="14" t="s">
        <v>265</v>
      </c>
      <c r="AY110" s="159" t="s">
        <v>266</v>
      </c>
    </row>
    <row r="111" spans="2:65" s="14" customFormat="1" ht="22.5" customHeight="1">
      <c r="B111" s="120"/>
      <c r="C111" s="121" t="s">
        <v>105</v>
      </c>
      <c r="D111" s="121" t="s">
        <v>78</v>
      </c>
      <c r="E111" s="201" t="s">
        <v>306</v>
      </c>
      <c r="F111" s="202" t="s">
        <v>307</v>
      </c>
      <c r="G111" s="124" t="s">
        <v>193</v>
      </c>
      <c r="H111" s="125">
        <f>H114</f>
        <v>16.8</v>
      </c>
      <c r="I111" s="126">
        <v>0</v>
      </c>
      <c r="J111" s="126">
        <f>ROUND(I111*H111,2)</f>
        <v>0</v>
      </c>
      <c r="K111" s="175"/>
      <c r="L111" s="16"/>
      <c r="M111" s="176"/>
      <c r="N111" s="177" t="s">
        <v>24</v>
      </c>
      <c r="O111" s="178"/>
      <c r="P111" s="178"/>
      <c r="Q111" s="178"/>
      <c r="R111" s="178"/>
      <c r="S111" s="178"/>
      <c r="T111" s="179"/>
      <c r="AR111" s="159" t="s">
        <v>90</v>
      </c>
      <c r="AT111" s="159" t="s">
        <v>78</v>
      </c>
      <c r="AU111" s="159" t="s">
        <v>83</v>
      </c>
      <c r="AY111" s="159" t="s">
        <v>266</v>
      </c>
      <c r="BE111" s="180">
        <f>IF(N111="základní",J111,0)</f>
        <v>0</v>
      </c>
      <c r="BF111" s="180">
        <f>IF(N111="snížená",J111,0)</f>
        <v>0</v>
      </c>
      <c r="BG111" s="180">
        <f>IF(N111="zákl. přenesená",J111,0)</f>
        <v>0</v>
      </c>
      <c r="BH111" s="180">
        <f>IF(N111="sníž. přenesená",J111,0)</f>
        <v>0</v>
      </c>
      <c r="BI111" s="180">
        <f>IF(N111="nulová",J111,0)</f>
        <v>0</v>
      </c>
      <c r="BJ111" s="159" t="s">
        <v>77</v>
      </c>
      <c r="BK111" s="180">
        <f>ROUND(I111*H111,2)</f>
        <v>0</v>
      </c>
      <c r="BL111" s="159" t="s">
        <v>90</v>
      </c>
      <c r="BM111" s="159" t="s">
        <v>308</v>
      </c>
    </row>
    <row r="112" spans="2:47" s="14" customFormat="1" ht="27" customHeight="1">
      <c r="B112" s="16"/>
      <c r="D112" s="131" t="s">
        <v>82</v>
      </c>
      <c r="F112" s="132" t="s">
        <v>303</v>
      </c>
      <c r="K112" s="16"/>
      <c r="L112" s="16"/>
      <c r="M112" s="181"/>
      <c r="N112" s="16"/>
      <c r="O112" s="16"/>
      <c r="P112" s="16"/>
      <c r="Q112" s="16"/>
      <c r="R112" s="16"/>
      <c r="S112" s="16"/>
      <c r="T112" s="182"/>
      <c r="AT112" s="159" t="s">
        <v>82</v>
      </c>
      <c r="AU112" s="159" t="s">
        <v>83</v>
      </c>
    </row>
    <row r="113" spans="2:51" s="193" customFormat="1" ht="13.5" customHeight="1">
      <c r="B113" s="194"/>
      <c r="D113" s="131" t="s">
        <v>194</v>
      </c>
      <c r="E113" s="195"/>
      <c r="F113" s="196" t="s">
        <v>304</v>
      </c>
      <c r="H113" s="195"/>
      <c r="K113" s="194"/>
      <c r="L113" s="194"/>
      <c r="M113" s="197"/>
      <c r="N113" s="194"/>
      <c r="O113" s="194"/>
      <c r="P113" s="194"/>
      <c r="Q113" s="194"/>
      <c r="R113" s="194"/>
      <c r="S113" s="194"/>
      <c r="T113" s="198"/>
      <c r="AT113" s="195" t="s">
        <v>194</v>
      </c>
      <c r="AU113" s="195" t="s">
        <v>83</v>
      </c>
      <c r="AV113" s="193" t="s">
        <v>77</v>
      </c>
      <c r="AW113" s="193" t="s">
        <v>274</v>
      </c>
      <c r="AX113" s="193" t="s">
        <v>265</v>
      </c>
      <c r="AY113" s="195" t="s">
        <v>266</v>
      </c>
    </row>
    <row r="114" spans="2:51" s="14" customFormat="1" ht="13.5" customHeight="1">
      <c r="B114" s="16"/>
      <c r="D114" s="149" t="s">
        <v>194</v>
      </c>
      <c r="E114" s="159"/>
      <c r="F114" s="199" t="s">
        <v>309</v>
      </c>
      <c r="H114" s="200">
        <f>(28*0.5*1.2)</f>
        <v>16.8</v>
      </c>
      <c r="K114" s="16"/>
      <c r="L114" s="16"/>
      <c r="M114" s="181"/>
      <c r="N114" s="16"/>
      <c r="O114" s="16"/>
      <c r="P114" s="16"/>
      <c r="Q114" s="16"/>
      <c r="R114" s="16"/>
      <c r="S114" s="16"/>
      <c r="T114" s="182"/>
      <c r="AT114" s="159" t="s">
        <v>194</v>
      </c>
      <c r="AU114" s="159" t="s">
        <v>83</v>
      </c>
      <c r="AV114" s="14" t="s">
        <v>83</v>
      </c>
      <c r="AW114" s="14" t="s">
        <v>274</v>
      </c>
      <c r="AX114" s="14" t="s">
        <v>265</v>
      </c>
      <c r="AY114" s="159" t="s">
        <v>266</v>
      </c>
    </row>
    <row r="115" spans="2:65" s="14" customFormat="1" ht="31.5" customHeight="1">
      <c r="B115" s="120"/>
      <c r="C115" s="121" t="s">
        <v>108</v>
      </c>
      <c r="D115" s="121" t="s">
        <v>78</v>
      </c>
      <c r="E115" s="122" t="s">
        <v>310</v>
      </c>
      <c r="F115" s="123" t="s">
        <v>311</v>
      </c>
      <c r="G115" s="124" t="s">
        <v>193</v>
      </c>
      <c r="H115" s="125">
        <f>H117</f>
        <v>115.11</v>
      </c>
      <c r="I115" s="126">
        <v>0</v>
      </c>
      <c r="J115" s="126">
        <f>ROUND(I115*H115,2)</f>
        <v>0</v>
      </c>
      <c r="K115" s="175"/>
      <c r="L115" s="16"/>
      <c r="M115" s="176"/>
      <c r="N115" s="177" t="s">
        <v>24</v>
      </c>
      <c r="O115" s="178"/>
      <c r="P115" s="178"/>
      <c r="Q115" s="178"/>
      <c r="R115" s="178"/>
      <c r="S115" s="178"/>
      <c r="T115" s="179"/>
      <c r="AR115" s="159" t="s">
        <v>90</v>
      </c>
      <c r="AT115" s="159" t="s">
        <v>78</v>
      </c>
      <c r="AU115" s="159" t="s">
        <v>83</v>
      </c>
      <c r="AY115" s="159" t="s">
        <v>266</v>
      </c>
      <c r="BE115" s="180">
        <f>IF(N115="základní",J115,0)</f>
        <v>0</v>
      </c>
      <c r="BF115" s="180">
        <f>IF(N115="snížená",J115,0)</f>
        <v>0</v>
      </c>
      <c r="BG115" s="180">
        <f>IF(N115="zákl. přenesená",J115,0)</f>
        <v>0</v>
      </c>
      <c r="BH115" s="180">
        <f>IF(N115="sníž. přenesená",J115,0)</f>
        <v>0</v>
      </c>
      <c r="BI115" s="180">
        <f>IF(N115="nulová",J115,0)</f>
        <v>0</v>
      </c>
      <c r="BJ115" s="159" t="s">
        <v>77</v>
      </c>
      <c r="BK115" s="180">
        <f>ROUND(I115*H115,2)</f>
        <v>0</v>
      </c>
      <c r="BL115" s="159" t="s">
        <v>90</v>
      </c>
      <c r="BM115" s="159" t="s">
        <v>312</v>
      </c>
    </row>
    <row r="116" spans="2:47" s="14" customFormat="1" ht="35.25" customHeight="1">
      <c r="B116" s="16"/>
      <c r="D116" s="127" t="s">
        <v>82</v>
      </c>
      <c r="F116" s="128" t="s">
        <v>313</v>
      </c>
      <c r="K116" s="16"/>
      <c r="L116" s="16"/>
      <c r="M116" s="181"/>
      <c r="N116" s="16"/>
      <c r="O116" s="16"/>
      <c r="P116" s="16"/>
      <c r="Q116" s="16"/>
      <c r="R116" s="16"/>
      <c r="S116" s="16"/>
      <c r="T116" s="182"/>
      <c r="AT116" s="159" t="s">
        <v>82</v>
      </c>
      <c r="AU116" s="159" t="s">
        <v>83</v>
      </c>
    </row>
    <row r="117" spans="2:52" s="203" customFormat="1" ht="13.5" customHeight="1">
      <c r="B117" s="204"/>
      <c r="D117" s="149" t="s">
        <v>194</v>
      </c>
      <c r="E117" s="205"/>
      <c r="F117" s="199" t="s">
        <v>314</v>
      </c>
      <c r="H117" s="200">
        <f>(27.68+70.63+16.8)</f>
        <v>115.11</v>
      </c>
      <c r="K117" s="204"/>
      <c r="L117" s="204"/>
      <c r="M117" s="206"/>
      <c r="N117" s="204"/>
      <c r="O117" s="204"/>
      <c r="P117" s="204"/>
      <c r="Q117" s="204"/>
      <c r="R117" s="204"/>
      <c r="S117" s="204"/>
      <c r="T117" s="207"/>
      <c r="AS117" s="14"/>
      <c r="AT117" s="159" t="s">
        <v>194</v>
      </c>
      <c r="AU117" s="159" t="s">
        <v>83</v>
      </c>
      <c r="AV117" s="14" t="s">
        <v>83</v>
      </c>
      <c r="AW117" s="14" t="s">
        <v>274</v>
      </c>
      <c r="AX117" s="14" t="s">
        <v>265</v>
      </c>
      <c r="AY117" s="159" t="s">
        <v>266</v>
      </c>
      <c r="AZ117" s="14"/>
    </row>
    <row r="118" spans="2:65" s="14" customFormat="1" ht="22.5" customHeight="1">
      <c r="B118" s="120"/>
      <c r="C118" s="121" t="s">
        <v>111</v>
      </c>
      <c r="D118" s="121" t="s">
        <v>78</v>
      </c>
      <c r="E118" s="208" t="s">
        <v>315</v>
      </c>
      <c r="F118" s="123" t="s">
        <v>316</v>
      </c>
      <c r="G118" s="124" t="s">
        <v>193</v>
      </c>
      <c r="H118" s="125">
        <f>H121</f>
        <v>21.349999999999998</v>
      </c>
      <c r="I118" s="126">
        <v>0</v>
      </c>
      <c r="J118" s="126">
        <f>ROUND(I118*H118,2)</f>
        <v>0</v>
      </c>
      <c r="K118" s="175"/>
      <c r="L118" s="16"/>
      <c r="M118" s="176"/>
      <c r="N118" s="177" t="s">
        <v>24</v>
      </c>
      <c r="O118" s="178"/>
      <c r="P118" s="178"/>
      <c r="Q118" s="178"/>
      <c r="R118" s="178"/>
      <c r="S118" s="178"/>
      <c r="T118" s="179"/>
      <c r="AR118" s="159" t="s">
        <v>90</v>
      </c>
      <c r="AT118" s="159" t="s">
        <v>78</v>
      </c>
      <c r="AU118" s="159" t="s">
        <v>83</v>
      </c>
      <c r="AY118" s="159" t="s">
        <v>266</v>
      </c>
      <c r="BE118" s="180">
        <f>IF(N118="základní",J118,0)</f>
        <v>0</v>
      </c>
      <c r="BF118" s="180">
        <f>IF(N118="snížená",J118,0)</f>
        <v>0</v>
      </c>
      <c r="BG118" s="180">
        <f>IF(N118="zákl. přenesená",J118,0)</f>
        <v>0</v>
      </c>
      <c r="BH118" s="180">
        <f>IF(N118="sníž. přenesená",J118,0)</f>
        <v>0</v>
      </c>
      <c r="BI118" s="180">
        <f>IF(N118="nulová",J118,0)</f>
        <v>0</v>
      </c>
      <c r="BJ118" s="159" t="s">
        <v>77</v>
      </c>
      <c r="BK118" s="180">
        <f>ROUND(I118*H118,2)</f>
        <v>0</v>
      </c>
      <c r="BL118" s="159" t="s">
        <v>90</v>
      </c>
      <c r="BM118" s="159" t="s">
        <v>302</v>
      </c>
    </row>
    <row r="119" spans="2:47" s="14" customFormat="1" ht="27" customHeight="1">
      <c r="B119" s="16"/>
      <c r="D119" s="131" t="s">
        <v>82</v>
      </c>
      <c r="F119" s="132" t="s">
        <v>303</v>
      </c>
      <c r="K119" s="16"/>
      <c r="L119" s="16"/>
      <c r="M119" s="181"/>
      <c r="N119" s="16"/>
      <c r="O119" s="16"/>
      <c r="P119" s="16"/>
      <c r="Q119" s="16"/>
      <c r="R119" s="16"/>
      <c r="S119" s="16"/>
      <c r="T119" s="182"/>
      <c r="AT119" s="159" t="s">
        <v>82</v>
      </c>
      <c r="AU119" s="159" t="s">
        <v>83</v>
      </c>
    </row>
    <row r="120" spans="2:51" s="193" customFormat="1" ht="13.5" customHeight="1">
      <c r="B120" s="194"/>
      <c r="D120" s="131" t="s">
        <v>194</v>
      </c>
      <c r="E120" s="195"/>
      <c r="F120" s="196" t="s">
        <v>304</v>
      </c>
      <c r="H120" s="195"/>
      <c r="K120" s="194"/>
      <c r="L120" s="194"/>
      <c r="M120" s="197"/>
      <c r="N120" s="194"/>
      <c r="O120" s="194"/>
      <c r="P120" s="194"/>
      <c r="Q120" s="194"/>
      <c r="R120" s="194"/>
      <c r="S120" s="194"/>
      <c r="T120" s="198"/>
      <c r="AT120" s="195" t="s">
        <v>194</v>
      </c>
      <c r="AU120" s="195" t="s">
        <v>83</v>
      </c>
      <c r="AV120" s="193" t="s">
        <v>77</v>
      </c>
      <c r="AW120" s="193" t="s">
        <v>274</v>
      </c>
      <c r="AX120" s="193" t="s">
        <v>265</v>
      </c>
      <c r="AY120" s="195" t="s">
        <v>266</v>
      </c>
    </row>
    <row r="121" spans="2:51" s="14" customFormat="1" ht="24.75" customHeight="1">
      <c r="B121" s="16"/>
      <c r="D121" s="149" t="s">
        <v>194</v>
      </c>
      <c r="E121" s="159"/>
      <c r="F121" s="199" t="s">
        <v>317</v>
      </c>
      <c r="H121" s="200">
        <f>(54*0.35*0.7+29*0.35*0.8)</f>
        <v>21.349999999999998</v>
      </c>
      <c r="K121" s="16"/>
      <c r="L121" s="16"/>
      <c r="M121" s="181"/>
      <c r="N121" s="16"/>
      <c r="O121" s="16"/>
      <c r="P121" s="16"/>
      <c r="Q121" s="16"/>
      <c r="R121" s="16"/>
      <c r="S121" s="16"/>
      <c r="T121" s="182"/>
      <c r="AT121" s="159" t="s">
        <v>194</v>
      </c>
      <c r="AU121" s="159" t="s">
        <v>83</v>
      </c>
      <c r="AV121" s="14" t="s">
        <v>83</v>
      </c>
      <c r="AW121" s="14" t="s">
        <v>274</v>
      </c>
      <c r="AX121" s="14" t="s">
        <v>265</v>
      </c>
      <c r="AY121" s="159" t="s">
        <v>266</v>
      </c>
    </row>
    <row r="122" spans="2:65" s="14" customFormat="1" ht="22.5" customHeight="1">
      <c r="B122" s="120"/>
      <c r="C122" s="121" t="s">
        <v>114</v>
      </c>
      <c r="D122" s="121" t="s">
        <v>78</v>
      </c>
      <c r="E122" s="209" t="s">
        <v>318</v>
      </c>
      <c r="F122" s="202" t="s">
        <v>319</v>
      </c>
      <c r="G122" s="124" t="s">
        <v>193</v>
      </c>
      <c r="H122" s="125">
        <f>H125</f>
        <v>10.45</v>
      </c>
      <c r="I122" s="126">
        <v>0</v>
      </c>
      <c r="J122" s="126">
        <f>ROUND(I122*H122,2)</f>
        <v>0</v>
      </c>
      <c r="K122" s="175"/>
      <c r="L122" s="16"/>
      <c r="M122" s="176"/>
      <c r="N122" s="177" t="s">
        <v>24</v>
      </c>
      <c r="O122" s="178"/>
      <c r="P122" s="178"/>
      <c r="Q122" s="178"/>
      <c r="R122" s="178"/>
      <c r="S122" s="178"/>
      <c r="T122" s="179"/>
      <c r="AR122" s="159" t="s">
        <v>90</v>
      </c>
      <c r="AT122" s="159" t="s">
        <v>78</v>
      </c>
      <c r="AU122" s="159" t="s">
        <v>83</v>
      </c>
      <c r="AY122" s="159" t="s">
        <v>266</v>
      </c>
      <c r="BE122" s="180">
        <f>IF(N122="základní",J122,0)</f>
        <v>0</v>
      </c>
      <c r="BF122" s="180">
        <f>IF(N122="snížená",J122,0)</f>
        <v>0</v>
      </c>
      <c r="BG122" s="180">
        <f>IF(N122="zákl. přenesená",J122,0)</f>
        <v>0</v>
      </c>
      <c r="BH122" s="180">
        <f>IF(N122="sníž. přenesená",J122,0)</f>
        <v>0</v>
      </c>
      <c r="BI122" s="180">
        <f>IF(N122="nulová",J122,0)</f>
        <v>0</v>
      </c>
      <c r="BJ122" s="159" t="s">
        <v>77</v>
      </c>
      <c r="BK122" s="180">
        <f>ROUND(I122*H122,2)</f>
        <v>0</v>
      </c>
      <c r="BL122" s="159" t="s">
        <v>90</v>
      </c>
      <c r="BM122" s="159" t="s">
        <v>308</v>
      </c>
    </row>
    <row r="123" spans="2:47" s="14" customFormat="1" ht="27" customHeight="1">
      <c r="B123" s="16"/>
      <c r="D123" s="131" t="s">
        <v>82</v>
      </c>
      <c r="F123" s="132" t="s">
        <v>320</v>
      </c>
      <c r="K123" s="16"/>
      <c r="L123" s="16"/>
      <c r="M123" s="181"/>
      <c r="N123" s="16"/>
      <c r="O123" s="16"/>
      <c r="P123" s="16"/>
      <c r="Q123" s="16"/>
      <c r="R123" s="16"/>
      <c r="S123" s="16"/>
      <c r="T123" s="182"/>
      <c r="AT123" s="159" t="s">
        <v>82</v>
      </c>
      <c r="AU123" s="159" t="s">
        <v>83</v>
      </c>
    </row>
    <row r="124" spans="2:51" s="193" customFormat="1" ht="13.5" customHeight="1">
      <c r="B124" s="194"/>
      <c r="D124" s="131" t="s">
        <v>194</v>
      </c>
      <c r="E124" s="195"/>
      <c r="F124" s="196" t="s">
        <v>304</v>
      </c>
      <c r="H124" s="195"/>
      <c r="K124" s="194"/>
      <c r="L124" s="194"/>
      <c r="M124" s="197"/>
      <c r="N124" s="194"/>
      <c r="O124" s="194"/>
      <c r="P124" s="194"/>
      <c r="Q124" s="194"/>
      <c r="R124" s="194"/>
      <c r="S124" s="194"/>
      <c r="T124" s="198"/>
      <c r="AT124" s="195" t="s">
        <v>194</v>
      </c>
      <c r="AU124" s="195" t="s">
        <v>83</v>
      </c>
      <c r="AV124" s="193" t="s">
        <v>77</v>
      </c>
      <c r="AW124" s="193" t="s">
        <v>274</v>
      </c>
      <c r="AX124" s="193" t="s">
        <v>265</v>
      </c>
      <c r="AY124" s="195" t="s">
        <v>266</v>
      </c>
    </row>
    <row r="125" spans="2:51" s="183" customFormat="1" ht="13.5" customHeight="1">
      <c r="B125" s="184"/>
      <c r="D125" s="131" t="s">
        <v>194</v>
      </c>
      <c r="E125" s="190"/>
      <c r="F125" s="210" t="s">
        <v>321</v>
      </c>
      <c r="H125" s="211">
        <f>(7*0.5*1.1+11*0.5*1.2)</f>
        <v>10.45</v>
      </c>
      <c r="K125" s="184"/>
      <c r="L125" s="184"/>
      <c r="M125" s="188"/>
      <c r="N125" s="184"/>
      <c r="O125" s="184"/>
      <c r="P125" s="184"/>
      <c r="Q125" s="184"/>
      <c r="R125" s="184"/>
      <c r="S125" s="184"/>
      <c r="T125" s="189"/>
      <c r="AT125" s="190" t="s">
        <v>194</v>
      </c>
      <c r="AU125" s="190" t="s">
        <v>83</v>
      </c>
      <c r="AV125" s="183" t="s">
        <v>83</v>
      </c>
      <c r="AW125" s="183" t="s">
        <v>274</v>
      </c>
      <c r="AX125" s="183" t="s">
        <v>265</v>
      </c>
      <c r="AY125" s="190" t="s">
        <v>266</v>
      </c>
    </row>
    <row r="126" spans="2:65" s="14" customFormat="1" ht="31.5" customHeight="1">
      <c r="B126" s="120"/>
      <c r="C126" s="121" t="s">
        <v>117</v>
      </c>
      <c r="D126" s="121" t="s">
        <v>78</v>
      </c>
      <c r="E126" s="191" t="s">
        <v>322</v>
      </c>
      <c r="F126" s="212" t="s">
        <v>323</v>
      </c>
      <c r="G126" s="124" t="s">
        <v>193</v>
      </c>
      <c r="H126" s="213">
        <f>H128</f>
        <v>42.2</v>
      </c>
      <c r="I126" s="126">
        <v>0</v>
      </c>
      <c r="J126" s="126">
        <f>ROUND(I126*H126,2)</f>
        <v>0</v>
      </c>
      <c r="K126" s="175"/>
      <c r="L126" s="16"/>
      <c r="M126" s="176"/>
      <c r="N126" s="177" t="s">
        <v>24</v>
      </c>
      <c r="O126" s="178"/>
      <c r="P126" s="178"/>
      <c r="Q126" s="178"/>
      <c r="R126" s="178"/>
      <c r="S126" s="178"/>
      <c r="T126" s="179"/>
      <c r="AR126" s="159" t="s">
        <v>90</v>
      </c>
      <c r="AT126" s="159" t="s">
        <v>78</v>
      </c>
      <c r="AU126" s="159" t="s">
        <v>83</v>
      </c>
      <c r="AY126" s="159" t="s">
        <v>266</v>
      </c>
      <c r="BE126" s="180">
        <f>IF(N126="základní",J126,0)</f>
        <v>0</v>
      </c>
      <c r="BF126" s="180">
        <f>IF(N126="snížená",J126,0)</f>
        <v>0</v>
      </c>
      <c r="BG126" s="180">
        <f>IF(N126="zákl. přenesená",J126,0)</f>
        <v>0</v>
      </c>
      <c r="BH126" s="180">
        <f>IF(N126="sníž. přenesená",J126,0)</f>
        <v>0</v>
      </c>
      <c r="BI126" s="180">
        <f>IF(N126="nulová",J126,0)</f>
        <v>0</v>
      </c>
      <c r="BJ126" s="159" t="s">
        <v>77</v>
      </c>
      <c r="BK126" s="180">
        <f>ROUND(I126*H126,2)</f>
        <v>0</v>
      </c>
      <c r="BL126" s="159" t="s">
        <v>90</v>
      </c>
      <c r="BM126" s="159" t="s">
        <v>324</v>
      </c>
    </row>
    <row r="127" spans="2:47" s="14" customFormat="1" ht="40.5" customHeight="1">
      <c r="B127" s="16"/>
      <c r="D127" s="127" t="s">
        <v>82</v>
      </c>
      <c r="F127" s="128" t="s">
        <v>325</v>
      </c>
      <c r="K127" s="16"/>
      <c r="L127" s="16"/>
      <c r="M127" s="181"/>
      <c r="N127" s="16"/>
      <c r="O127" s="16"/>
      <c r="P127" s="16"/>
      <c r="Q127" s="16"/>
      <c r="R127" s="16"/>
      <c r="S127" s="16"/>
      <c r="T127" s="182"/>
      <c r="AT127" s="159" t="s">
        <v>82</v>
      </c>
      <c r="AU127" s="159" t="s">
        <v>83</v>
      </c>
    </row>
    <row r="128" spans="2:51" s="14" customFormat="1" ht="24.75" customHeight="1">
      <c r="B128" s="16"/>
      <c r="D128" s="149" t="s">
        <v>194</v>
      </c>
      <c r="E128" s="159"/>
      <c r="F128" s="199" t="s">
        <v>326</v>
      </c>
      <c r="H128" s="200">
        <f>(10.4+21.35+10.45)</f>
        <v>42.2</v>
      </c>
      <c r="K128" s="16"/>
      <c r="L128" s="16"/>
      <c r="M128" s="181"/>
      <c r="N128" s="16"/>
      <c r="O128" s="16"/>
      <c r="P128" s="16"/>
      <c r="Q128" s="16"/>
      <c r="R128" s="16"/>
      <c r="S128" s="16"/>
      <c r="T128" s="182"/>
      <c r="AT128" s="159" t="s">
        <v>194</v>
      </c>
      <c r="AU128" s="159" t="s">
        <v>83</v>
      </c>
      <c r="AV128" s="14" t="s">
        <v>83</v>
      </c>
      <c r="AW128" s="14" t="s">
        <v>274</v>
      </c>
      <c r="AX128" s="14" t="s">
        <v>265</v>
      </c>
      <c r="AY128" s="159" t="s">
        <v>266</v>
      </c>
    </row>
    <row r="129" spans="2:65" s="14" customFormat="1" ht="22.5" customHeight="1">
      <c r="B129" s="120"/>
      <c r="C129" s="121" t="s">
        <v>120</v>
      </c>
      <c r="D129" s="121" t="s">
        <v>78</v>
      </c>
      <c r="E129" s="122" t="s">
        <v>327</v>
      </c>
      <c r="F129" s="123" t="s">
        <v>328</v>
      </c>
      <c r="G129" s="124" t="s">
        <v>193</v>
      </c>
      <c r="H129" s="125">
        <f>H134</f>
        <v>78.035</v>
      </c>
      <c r="I129" s="126">
        <v>0</v>
      </c>
      <c r="J129" s="126">
        <f>ROUND(I129*H129,2)</f>
        <v>0</v>
      </c>
      <c r="K129" s="175"/>
      <c r="L129" s="16"/>
      <c r="M129" s="176"/>
      <c r="N129" s="177" t="s">
        <v>24</v>
      </c>
      <c r="O129" s="178"/>
      <c r="P129" s="178"/>
      <c r="Q129" s="178"/>
      <c r="R129" s="178"/>
      <c r="S129" s="178"/>
      <c r="T129" s="179"/>
      <c r="AR129" s="159" t="s">
        <v>90</v>
      </c>
      <c r="AT129" s="159" t="s">
        <v>78</v>
      </c>
      <c r="AU129" s="159" t="s">
        <v>83</v>
      </c>
      <c r="AY129" s="159" t="s">
        <v>266</v>
      </c>
      <c r="BE129" s="180">
        <f>IF(N129="základní",J129,0)</f>
        <v>0</v>
      </c>
      <c r="BF129" s="180">
        <f>IF(N129="snížená",J129,0)</f>
        <v>0</v>
      </c>
      <c r="BG129" s="180">
        <f>IF(N129="zákl. přenesená",J129,0)</f>
        <v>0</v>
      </c>
      <c r="BH129" s="180">
        <f>IF(N129="sníž. přenesená",J129,0)</f>
        <v>0</v>
      </c>
      <c r="BI129" s="180">
        <f>IF(N129="nulová",J129,0)</f>
        <v>0</v>
      </c>
      <c r="BJ129" s="159" t="s">
        <v>77</v>
      </c>
      <c r="BK129" s="180">
        <f>ROUND(I129*H129,2)</f>
        <v>0</v>
      </c>
      <c r="BL129" s="159" t="s">
        <v>90</v>
      </c>
      <c r="BM129" s="159" t="s">
        <v>329</v>
      </c>
    </row>
    <row r="130" spans="2:47" s="14" customFormat="1" ht="40.5" customHeight="1">
      <c r="B130" s="16"/>
      <c r="D130" s="127" t="s">
        <v>82</v>
      </c>
      <c r="F130" s="128" t="s">
        <v>330</v>
      </c>
      <c r="K130" s="16"/>
      <c r="L130" s="16"/>
      <c r="M130" s="181"/>
      <c r="N130" s="16"/>
      <c r="O130" s="16"/>
      <c r="P130" s="16"/>
      <c r="Q130" s="16"/>
      <c r="R130" s="16"/>
      <c r="S130" s="16"/>
      <c r="T130" s="182"/>
      <c r="AT130" s="159" t="s">
        <v>82</v>
      </c>
      <c r="AU130" s="159" t="s">
        <v>83</v>
      </c>
    </row>
    <row r="131" spans="2:51" s="214" customFormat="1" ht="14.25" customHeight="1">
      <c r="B131" s="215"/>
      <c r="D131" s="216" t="s">
        <v>194</v>
      </c>
      <c r="E131" s="217"/>
      <c r="F131" s="199" t="s">
        <v>331</v>
      </c>
      <c r="H131" s="200">
        <f>((142+128+54+29)*0.35*0.1)</f>
        <v>12.355</v>
      </c>
      <c r="K131" s="215"/>
      <c r="L131" s="215"/>
      <c r="M131" s="218"/>
      <c r="N131" s="215"/>
      <c r="O131" s="215"/>
      <c r="P131" s="215"/>
      <c r="Q131" s="215"/>
      <c r="R131" s="215"/>
      <c r="S131" s="215"/>
      <c r="T131" s="219"/>
      <c r="AT131" s="217" t="s">
        <v>194</v>
      </c>
      <c r="AU131" s="217" t="s">
        <v>83</v>
      </c>
      <c r="AV131" s="214" t="s">
        <v>83</v>
      </c>
      <c r="AW131" s="214" t="s">
        <v>274</v>
      </c>
      <c r="AX131" s="214" t="s">
        <v>265</v>
      </c>
      <c r="AY131" s="217" t="s">
        <v>266</v>
      </c>
    </row>
    <row r="132" spans="2:51" s="214" customFormat="1" ht="14.25" customHeight="1">
      <c r="B132" s="215"/>
      <c r="D132" s="216" t="s">
        <v>194</v>
      </c>
      <c r="E132" s="217"/>
      <c r="F132" s="199" t="s">
        <v>332</v>
      </c>
      <c r="H132" s="200">
        <f>(14*1*1*1.2+16*1*1*1.3+2*0.6*0.5*0.8)</f>
        <v>38.08</v>
      </c>
      <c r="K132" s="215"/>
      <c r="L132" s="215"/>
      <c r="M132" s="218"/>
      <c r="N132" s="215"/>
      <c r="O132" s="215"/>
      <c r="P132" s="215"/>
      <c r="Q132" s="215"/>
      <c r="R132" s="215"/>
      <c r="S132" s="215"/>
      <c r="T132" s="219"/>
      <c r="AT132" s="217" t="s">
        <v>194</v>
      </c>
      <c r="AU132" s="217" t="s">
        <v>83</v>
      </c>
      <c r="AV132" s="214" t="s">
        <v>83</v>
      </c>
      <c r="AW132" s="214" t="s">
        <v>274</v>
      </c>
      <c r="AX132" s="214" t="s">
        <v>265</v>
      </c>
      <c r="AY132" s="217" t="s">
        <v>266</v>
      </c>
    </row>
    <row r="133" spans="2:51" s="214" customFormat="1" ht="14.25" customHeight="1">
      <c r="B133" s="215"/>
      <c r="D133" s="216" t="s">
        <v>194</v>
      </c>
      <c r="E133" s="217"/>
      <c r="F133" s="199" t="s">
        <v>333</v>
      </c>
      <c r="H133" s="200">
        <f>(46*0.5*1.2)</f>
        <v>27.599999999999998</v>
      </c>
      <c r="K133" s="215"/>
      <c r="L133" s="215"/>
      <c r="M133" s="218"/>
      <c r="N133" s="215"/>
      <c r="O133" s="215"/>
      <c r="P133" s="215"/>
      <c r="Q133" s="215"/>
      <c r="R133" s="215"/>
      <c r="S133" s="215"/>
      <c r="T133" s="219"/>
      <c r="AT133" s="217" t="s">
        <v>194</v>
      </c>
      <c r="AU133" s="217" t="s">
        <v>83</v>
      </c>
      <c r="AV133" s="214" t="s">
        <v>83</v>
      </c>
      <c r="AW133" s="214" t="s">
        <v>274</v>
      </c>
      <c r="AX133" s="214" t="s">
        <v>265</v>
      </c>
      <c r="AY133" s="217" t="s">
        <v>266</v>
      </c>
    </row>
    <row r="134" spans="2:51" s="214" customFormat="1" ht="14.25" customHeight="1">
      <c r="B134" s="215"/>
      <c r="D134" s="216" t="s">
        <v>194</v>
      </c>
      <c r="E134" s="217"/>
      <c r="F134" s="199" t="s">
        <v>334</v>
      </c>
      <c r="H134" s="200">
        <f>SUM(H131:H133)</f>
        <v>78.035</v>
      </c>
      <c r="K134" s="215"/>
      <c r="L134" s="215"/>
      <c r="M134" s="218"/>
      <c r="N134" s="215"/>
      <c r="O134" s="215"/>
      <c r="P134" s="215"/>
      <c r="Q134" s="215"/>
      <c r="R134" s="215"/>
      <c r="S134" s="215"/>
      <c r="T134" s="219"/>
      <c r="AT134" s="217" t="s">
        <v>194</v>
      </c>
      <c r="AU134" s="217" t="s">
        <v>83</v>
      </c>
      <c r="AV134" s="214" t="s">
        <v>83</v>
      </c>
      <c r="AW134" s="214" t="s">
        <v>274</v>
      </c>
      <c r="AX134" s="214" t="s">
        <v>265</v>
      </c>
      <c r="AY134" s="217" t="s">
        <v>266</v>
      </c>
    </row>
    <row r="135" spans="2:65" s="14" customFormat="1" ht="31.5" customHeight="1">
      <c r="B135" s="120"/>
      <c r="C135" s="121" t="s">
        <v>124</v>
      </c>
      <c r="D135" s="121" t="s">
        <v>78</v>
      </c>
      <c r="E135" s="122" t="s">
        <v>335</v>
      </c>
      <c r="F135" s="123" t="s">
        <v>336</v>
      </c>
      <c r="G135" s="124" t="s">
        <v>193</v>
      </c>
      <c r="H135" s="125">
        <v>234.105</v>
      </c>
      <c r="I135" s="126">
        <v>0</v>
      </c>
      <c r="J135" s="126">
        <f>ROUND(I135*H135,2)</f>
        <v>0</v>
      </c>
      <c r="K135" s="175"/>
      <c r="L135" s="16"/>
      <c r="M135" s="176"/>
      <c r="N135" s="177" t="s">
        <v>24</v>
      </c>
      <c r="O135" s="178"/>
      <c r="P135" s="178"/>
      <c r="Q135" s="178"/>
      <c r="R135" s="178"/>
      <c r="S135" s="178"/>
      <c r="T135" s="179"/>
      <c r="AR135" s="159" t="s">
        <v>90</v>
      </c>
      <c r="AT135" s="159" t="s">
        <v>78</v>
      </c>
      <c r="AU135" s="159" t="s">
        <v>83</v>
      </c>
      <c r="AY135" s="159" t="s">
        <v>266</v>
      </c>
      <c r="BE135" s="180">
        <f>IF(N135="základní",J135,0)</f>
        <v>0</v>
      </c>
      <c r="BF135" s="180">
        <f>IF(N135="snížená",J135,0)</f>
        <v>0</v>
      </c>
      <c r="BG135" s="180">
        <f>IF(N135="zákl. přenesená",J135,0)</f>
        <v>0</v>
      </c>
      <c r="BH135" s="180">
        <f>IF(N135="sníž. přenesená",J135,0)</f>
        <v>0</v>
      </c>
      <c r="BI135" s="180">
        <f>IF(N135="nulová",J135,0)</f>
        <v>0</v>
      </c>
      <c r="BJ135" s="159" t="s">
        <v>77</v>
      </c>
      <c r="BK135" s="180">
        <f>ROUND(I135*H135,2)</f>
        <v>0</v>
      </c>
      <c r="BL135" s="159" t="s">
        <v>90</v>
      </c>
      <c r="BM135" s="159" t="s">
        <v>337</v>
      </c>
    </row>
    <row r="136" spans="2:47" s="14" customFormat="1" ht="40.5" customHeight="1">
      <c r="B136" s="16"/>
      <c r="D136" s="127" t="s">
        <v>82</v>
      </c>
      <c r="F136" s="128" t="s">
        <v>338</v>
      </c>
      <c r="K136" s="16"/>
      <c r="L136" s="16"/>
      <c r="M136" s="181"/>
      <c r="N136" s="16"/>
      <c r="O136" s="16"/>
      <c r="P136" s="16"/>
      <c r="Q136" s="16"/>
      <c r="R136" s="16"/>
      <c r="S136" s="16"/>
      <c r="T136" s="182"/>
      <c r="AT136" s="159" t="s">
        <v>82</v>
      </c>
      <c r="AU136" s="159" t="s">
        <v>83</v>
      </c>
    </row>
    <row r="137" spans="2:65" s="14" customFormat="1" ht="22.5" customHeight="1">
      <c r="B137" s="120"/>
      <c r="C137" s="121" t="s">
        <v>127</v>
      </c>
      <c r="D137" s="121" t="s">
        <v>78</v>
      </c>
      <c r="E137" s="122" t="s">
        <v>339</v>
      </c>
      <c r="F137" s="123" t="s">
        <v>340</v>
      </c>
      <c r="G137" s="124" t="s">
        <v>193</v>
      </c>
      <c r="H137" s="125">
        <v>78.035</v>
      </c>
      <c r="I137" s="126">
        <v>0</v>
      </c>
      <c r="J137" s="126">
        <f>ROUND(I137*H137,2)</f>
        <v>0</v>
      </c>
      <c r="K137" s="175"/>
      <c r="L137" s="16"/>
      <c r="M137" s="176"/>
      <c r="N137" s="177" t="s">
        <v>24</v>
      </c>
      <c r="O137" s="178"/>
      <c r="P137" s="178"/>
      <c r="Q137" s="178"/>
      <c r="R137" s="178"/>
      <c r="S137" s="178"/>
      <c r="T137" s="179"/>
      <c r="AR137" s="159" t="s">
        <v>90</v>
      </c>
      <c r="AT137" s="159" t="s">
        <v>78</v>
      </c>
      <c r="AU137" s="159" t="s">
        <v>83</v>
      </c>
      <c r="AY137" s="159" t="s">
        <v>266</v>
      </c>
      <c r="BE137" s="180">
        <f>IF(N137="základní",J137,0)</f>
        <v>0</v>
      </c>
      <c r="BF137" s="180">
        <f>IF(N137="snížená",J137,0)</f>
        <v>0</v>
      </c>
      <c r="BG137" s="180">
        <f>IF(N137="zákl. přenesená",J137,0)</f>
        <v>0</v>
      </c>
      <c r="BH137" s="180">
        <f>IF(N137="sníž. přenesená",J137,0)</f>
        <v>0</v>
      </c>
      <c r="BI137" s="180">
        <f>IF(N137="nulová",J137,0)</f>
        <v>0</v>
      </c>
      <c r="BJ137" s="159" t="s">
        <v>77</v>
      </c>
      <c r="BK137" s="180">
        <f>ROUND(I137*H137,2)</f>
        <v>0</v>
      </c>
      <c r="BL137" s="159" t="s">
        <v>90</v>
      </c>
      <c r="BM137" s="159" t="s">
        <v>341</v>
      </c>
    </row>
    <row r="138" spans="2:47" s="14" customFormat="1" ht="27" customHeight="1">
      <c r="B138" s="16"/>
      <c r="D138" s="127" t="s">
        <v>82</v>
      </c>
      <c r="F138" s="128" t="s">
        <v>342</v>
      </c>
      <c r="K138" s="16"/>
      <c r="L138" s="16"/>
      <c r="M138" s="181"/>
      <c r="N138" s="16"/>
      <c r="O138" s="16"/>
      <c r="P138" s="16"/>
      <c r="Q138" s="16"/>
      <c r="R138" s="16"/>
      <c r="S138" s="16"/>
      <c r="T138" s="182"/>
      <c r="AT138" s="159" t="s">
        <v>82</v>
      </c>
      <c r="AU138" s="159" t="s">
        <v>83</v>
      </c>
    </row>
    <row r="139" spans="2:65" s="14" customFormat="1" ht="22.5" customHeight="1">
      <c r="B139" s="120"/>
      <c r="C139" s="121" t="s">
        <v>130</v>
      </c>
      <c r="D139" s="121" t="s">
        <v>78</v>
      </c>
      <c r="E139" s="122" t="s">
        <v>343</v>
      </c>
      <c r="F139" s="123" t="s">
        <v>344</v>
      </c>
      <c r="G139" s="124" t="s">
        <v>193</v>
      </c>
      <c r="H139" s="125">
        <v>78.035</v>
      </c>
      <c r="I139" s="126">
        <v>0</v>
      </c>
      <c r="J139" s="126">
        <f>ROUND(I139*H139,2)</f>
        <v>0</v>
      </c>
      <c r="K139" s="175"/>
      <c r="L139" s="16"/>
      <c r="M139" s="176"/>
      <c r="N139" s="177" t="s">
        <v>24</v>
      </c>
      <c r="O139" s="178"/>
      <c r="P139" s="178"/>
      <c r="Q139" s="178"/>
      <c r="R139" s="178"/>
      <c r="S139" s="178"/>
      <c r="T139" s="179"/>
      <c r="AR139" s="159" t="s">
        <v>90</v>
      </c>
      <c r="AT139" s="159" t="s">
        <v>78</v>
      </c>
      <c r="AU139" s="159" t="s">
        <v>83</v>
      </c>
      <c r="AY139" s="159" t="s">
        <v>266</v>
      </c>
      <c r="BE139" s="180">
        <f>IF(N139="základní",J139,0)</f>
        <v>0</v>
      </c>
      <c r="BF139" s="180">
        <f>IF(N139="snížená",J139,0)</f>
        <v>0</v>
      </c>
      <c r="BG139" s="180">
        <f>IF(N139="zákl. přenesená",J139,0)</f>
        <v>0</v>
      </c>
      <c r="BH139" s="180">
        <f>IF(N139="sníž. přenesená",J139,0)</f>
        <v>0</v>
      </c>
      <c r="BI139" s="180">
        <f>IF(N139="nulová",J139,0)</f>
        <v>0</v>
      </c>
      <c r="BJ139" s="159" t="s">
        <v>77</v>
      </c>
      <c r="BK139" s="180">
        <f>ROUND(I139*H139,2)</f>
        <v>0</v>
      </c>
      <c r="BL139" s="159" t="s">
        <v>90</v>
      </c>
      <c r="BM139" s="159" t="s">
        <v>345</v>
      </c>
    </row>
    <row r="140" spans="2:47" s="14" customFormat="1" ht="13.5" customHeight="1">
      <c r="B140" s="16"/>
      <c r="D140" s="127" t="s">
        <v>82</v>
      </c>
      <c r="F140" s="128" t="s">
        <v>344</v>
      </c>
      <c r="K140" s="16"/>
      <c r="L140" s="16"/>
      <c r="M140" s="181"/>
      <c r="N140" s="16"/>
      <c r="O140" s="16"/>
      <c r="P140" s="16"/>
      <c r="Q140" s="16"/>
      <c r="R140" s="16"/>
      <c r="S140" s="16"/>
      <c r="T140" s="182"/>
      <c r="AT140" s="159" t="s">
        <v>82</v>
      </c>
      <c r="AU140" s="159" t="s">
        <v>83</v>
      </c>
    </row>
    <row r="141" spans="2:65" s="14" customFormat="1" ht="22.5" customHeight="1">
      <c r="B141" s="120"/>
      <c r="C141" s="121" t="s">
        <v>134</v>
      </c>
      <c r="D141" s="121" t="s">
        <v>78</v>
      </c>
      <c r="E141" s="122" t="s">
        <v>346</v>
      </c>
      <c r="F141" s="212" t="s">
        <v>347</v>
      </c>
      <c r="G141" s="124" t="s">
        <v>193</v>
      </c>
      <c r="H141" s="125">
        <v>45.245</v>
      </c>
      <c r="I141" s="126">
        <v>0</v>
      </c>
      <c r="J141" s="126">
        <f>ROUND(I141*H141,2)</f>
        <v>0</v>
      </c>
      <c r="K141" s="175"/>
      <c r="L141" s="16"/>
      <c r="M141" s="176"/>
      <c r="N141" s="177" t="s">
        <v>24</v>
      </c>
      <c r="O141" s="178"/>
      <c r="P141" s="178"/>
      <c r="Q141" s="178"/>
      <c r="R141" s="178"/>
      <c r="S141" s="178"/>
      <c r="T141" s="179"/>
      <c r="AR141" s="159" t="s">
        <v>90</v>
      </c>
      <c r="AT141" s="159" t="s">
        <v>78</v>
      </c>
      <c r="AU141" s="159" t="s">
        <v>83</v>
      </c>
      <c r="AY141" s="159" t="s">
        <v>266</v>
      </c>
      <c r="BE141" s="180">
        <f>IF(N141="základní",J141,0)</f>
        <v>0</v>
      </c>
      <c r="BF141" s="180">
        <f>IF(N141="snížená",J141,0)</f>
        <v>0</v>
      </c>
      <c r="BG141" s="180">
        <f>IF(N141="zákl. přenesená",J141,0)</f>
        <v>0</v>
      </c>
      <c r="BH141" s="180">
        <f>IF(N141="sníž. přenesená",J141,0)</f>
        <v>0</v>
      </c>
      <c r="BI141" s="180">
        <f>IF(N141="nulová",J141,0)</f>
        <v>0</v>
      </c>
      <c r="BJ141" s="159" t="s">
        <v>77</v>
      </c>
      <c r="BK141" s="180">
        <f>ROUND(I141*H141,2)</f>
        <v>0</v>
      </c>
      <c r="BL141" s="159" t="s">
        <v>90</v>
      </c>
      <c r="BM141" s="159" t="s">
        <v>348</v>
      </c>
    </row>
    <row r="142" spans="2:47" s="14" customFormat="1" ht="13.5" customHeight="1">
      <c r="B142" s="16"/>
      <c r="D142" s="131" t="s">
        <v>82</v>
      </c>
      <c r="F142" s="132" t="s">
        <v>349</v>
      </c>
      <c r="K142" s="16"/>
      <c r="L142" s="16"/>
      <c r="M142" s="181"/>
      <c r="N142" s="16"/>
      <c r="O142" s="16"/>
      <c r="P142" s="16"/>
      <c r="Q142" s="16"/>
      <c r="R142" s="16"/>
      <c r="S142" s="16"/>
      <c r="T142" s="182"/>
      <c r="AT142" s="159" t="s">
        <v>82</v>
      </c>
      <c r="AU142" s="159" t="s">
        <v>83</v>
      </c>
    </row>
    <row r="143" spans="2:65" s="14" customFormat="1" ht="22.5" customHeight="1">
      <c r="B143" s="120"/>
      <c r="C143" s="121" t="s">
        <v>350</v>
      </c>
      <c r="D143" s="121" t="s">
        <v>78</v>
      </c>
      <c r="E143" s="122" t="s">
        <v>351</v>
      </c>
      <c r="F143" s="123" t="s">
        <v>352</v>
      </c>
      <c r="G143" s="124" t="s">
        <v>193</v>
      </c>
      <c r="H143" s="125">
        <f>H148</f>
        <v>101.78999999999999</v>
      </c>
      <c r="I143" s="126">
        <v>0</v>
      </c>
      <c r="J143" s="126">
        <f>ROUND(I143*H143,2)</f>
        <v>0</v>
      </c>
      <c r="K143" s="175"/>
      <c r="L143" s="16"/>
      <c r="M143" s="176"/>
      <c r="N143" s="177" t="s">
        <v>24</v>
      </c>
      <c r="O143" s="178"/>
      <c r="P143" s="178"/>
      <c r="Q143" s="178"/>
      <c r="R143" s="178"/>
      <c r="S143" s="178"/>
      <c r="T143" s="179"/>
      <c r="AR143" s="159" t="s">
        <v>90</v>
      </c>
      <c r="AT143" s="159" t="s">
        <v>78</v>
      </c>
      <c r="AU143" s="159" t="s">
        <v>83</v>
      </c>
      <c r="AY143" s="159" t="s">
        <v>266</v>
      </c>
      <c r="BE143" s="180">
        <f>IF(N143="základní",J143,0)</f>
        <v>0</v>
      </c>
      <c r="BF143" s="180">
        <f>IF(N143="snížená",J143,0)</f>
        <v>0</v>
      </c>
      <c r="BG143" s="180">
        <f>IF(N143="zákl. přenesená",J143,0)</f>
        <v>0</v>
      </c>
      <c r="BH143" s="180">
        <f>IF(N143="sníž. přenesená",J143,0)</f>
        <v>0</v>
      </c>
      <c r="BI143" s="180">
        <f>IF(N143="nulová",J143,0)</f>
        <v>0</v>
      </c>
      <c r="BJ143" s="159" t="s">
        <v>77</v>
      </c>
      <c r="BK143" s="180">
        <f>ROUND(I143*H143,2)</f>
        <v>0</v>
      </c>
      <c r="BL143" s="159" t="s">
        <v>90</v>
      </c>
      <c r="BM143" s="159" t="s">
        <v>353</v>
      </c>
    </row>
    <row r="144" spans="2:47" s="14" customFormat="1" ht="27" customHeight="1">
      <c r="B144" s="16"/>
      <c r="D144" s="131" t="s">
        <v>82</v>
      </c>
      <c r="F144" s="132" t="s">
        <v>354</v>
      </c>
      <c r="K144" s="16"/>
      <c r="L144" s="16"/>
      <c r="M144" s="181"/>
      <c r="N144" s="16"/>
      <c r="O144" s="16"/>
      <c r="P144" s="16"/>
      <c r="Q144" s="16"/>
      <c r="R144" s="16"/>
      <c r="S144" s="16"/>
      <c r="T144" s="182"/>
      <c r="AT144" s="159" t="s">
        <v>82</v>
      </c>
      <c r="AU144" s="159" t="s">
        <v>83</v>
      </c>
    </row>
    <row r="145" spans="2:51" s="183" customFormat="1" ht="13.5" customHeight="1">
      <c r="B145" s="184"/>
      <c r="D145" s="131" t="s">
        <v>194</v>
      </c>
      <c r="E145" s="190"/>
      <c r="F145" s="210" t="s">
        <v>355</v>
      </c>
      <c r="H145" s="211">
        <f>(142*0.6*0.35+128*0.7*0.35+54*0.35*0.6+29*0.35*0.7)</f>
        <v>79.625</v>
      </c>
      <c r="K145" s="184"/>
      <c r="L145" s="184"/>
      <c r="M145" s="188"/>
      <c r="N145" s="184"/>
      <c r="O145" s="184"/>
      <c r="P145" s="184"/>
      <c r="Q145" s="184"/>
      <c r="R145" s="184"/>
      <c r="S145" s="184"/>
      <c r="T145" s="189"/>
      <c r="AT145" s="190" t="s">
        <v>194</v>
      </c>
      <c r="AU145" s="190" t="s">
        <v>83</v>
      </c>
      <c r="AV145" s="183" t="s">
        <v>83</v>
      </c>
      <c r="AW145" s="183" t="s">
        <v>274</v>
      </c>
      <c r="AX145" s="183" t="s">
        <v>265</v>
      </c>
      <c r="AY145" s="190" t="s">
        <v>266</v>
      </c>
    </row>
    <row r="146" spans="2:51" s="183" customFormat="1" ht="19.5" customHeight="1">
      <c r="B146" s="184"/>
      <c r="D146" s="131" t="s">
        <v>194</v>
      </c>
      <c r="E146" s="190"/>
      <c r="F146" s="210" t="s">
        <v>356</v>
      </c>
      <c r="H146" s="211">
        <f>(14*1*1*1-3+16*1*1*1.2-30*0.8*0.8*1.3)</f>
        <v>5.239999999999995</v>
      </c>
      <c r="K146" s="184"/>
      <c r="L146" s="184"/>
      <c r="M146" s="188"/>
      <c r="N146" s="184"/>
      <c r="O146" s="184"/>
      <c r="P146" s="184"/>
      <c r="Q146" s="184"/>
      <c r="R146" s="184"/>
      <c r="S146" s="184"/>
      <c r="T146" s="189"/>
      <c r="AT146" s="190" t="s">
        <v>194</v>
      </c>
      <c r="AU146" s="190" t="s">
        <v>83</v>
      </c>
      <c r="AV146" s="183" t="s">
        <v>83</v>
      </c>
      <c r="AW146" s="183" t="s">
        <v>274</v>
      </c>
      <c r="AX146" s="183" t="s">
        <v>265</v>
      </c>
      <c r="AY146" s="190" t="s">
        <v>266</v>
      </c>
    </row>
    <row r="147" spans="2:51" s="183" customFormat="1" ht="19.5" customHeight="1">
      <c r="B147" s="184"/>
      <c r="D147" s="131" t="s">
        <v>194</v>
      </c>
      <c r="E147" s="190"/>
      <c r="F147" s="210" t="s">
        <v>357</v>
      </c>
      <c r="H147" s="200">
        <f>((28+3)*0.5*0.85+(7+8)*0.5*0.5)</f>
        <v>16.924999999999997</v>
      </c>
      <c r="K147" s="184"/>
      <c r="L147" s="184"/>
      <c r="M147" s="188"/>
      <c r="N147" s="184"/>
      <c r="O147" s="184"/>
      <c r="P147" s="184"/>
      <c r="Q147" s="184"/>
      <c r="R147" s="184"/>
      <c r="S147" s="184"/>
      <c r="T147" s="189"/>
      <c r="AT147" s="190" t="s">
        <v>194</v>
      </c>
      <c r="AU147" s="190" t="s">
        <v>83</v>
      </c>
      <c r="AV147" s="183" t="s">
        <v>83</v>
      </c>
      <c r="AW147" s="183" t="s">
        <v>274</v>
      </c>
      <c r="AX147" s="183" t="s">
        <v>265</v>
      </c>
      <c r="AY147" s="190" t="s">
        <v>266</v>
      </c>
    </row>
    <row r="148" spans="2:51" s="220" customFormat="1" ht="13.5" customHeight="1">
      <c r="B148" s="221"/>
      <c r="D148" s="127" t="s">
        <v>194</v>
      </c>
      <c r="E148" s="222"/>
      <c r="F148" s="145" t="s">
        <v>334</v>
      </c>
      <c r="H148" s="223">
        <f>SUM(H145:H147)</f>
        <v>101.78999999999999</v>
      </c>
      <c r="K148" s="221"/>
      <c r="L148" s="221"/>
      <c r="M148" s="224"/>
      <c r="N148" s="221"/>
      <c r="O148" s="221"/>
      <c r="P148" s="221"/>
      <c r="Q148" s="221"/>
      <c r="R148" s="221"/>
      <c r="S148" s="221"/>
      <c r="T148" s="225"/>
      <c r="AT148" s="226" t="s">
        <v>194</v>
      </c>
      <c r="AU148" s="226" t="s">
        <v>83</v>
      </c>
      <c r="AV148" s="220" t="s">
        <v>90</v>
      </c>
      <c r="AW148" s="220" t="s">
        <v>274</v>
      </c>
      <c r="AX148" s="220" t="s">
        <v>77</v>
      </c>
      <c r="AY148" s="226" t="s">
        <v>266</v>
      </c>
    </row>
    <row r="149" spans="2:65" s="14" customFormat="1" ht="22.5" customHeight="1">
      <c r="B149" s="120"/>
      <c r="C149" s="121" t="s">
        <v>139</v>
      </c>
      <c r="D149" s="121" t="s">
        <v>78</v>
      </c>
      <c r="E149" s="122" t="s">
        <v>358</v>
      </c>
      <c r="F149" s="123" t="s">
        <v>359</v>
      </c>
      <c r="G149" s="124" t="s">
        <v>270</v>
      </c>
      <c r="H149" s="125">
        <f>H151</f>
        <v>73.63999999999999</v>
      </c>
      <c r="I149" s="126">
        <v>0</v>
      </c>
      <c r="J149" s="126">
        <f>ROUND(I149*H149,2)</f>
        <v>0</v>
      </c>
      <c r="K149" s="175"/>
      <c r="L149" s="16"/>
      <c r="M149" s="176"/>
      <c r="N149" s="177" t="s">
        <v>24</v>
      </c>
      <c r="O149" s="178"/>
      <c r="P149" s="178"/>
      <c r="Q149" s="178"/>
      <c r="R149" s="178"/>
      <c r="S149" s="178"/>
      <c r="T149" s="179"/>
      <c r="AR149" s="159" t="s">
        <v>90</v>
      </c>
      <c r="AT149" s="159" t="s">
        <v>78</v>
      </c>
      <c r="AU149" s="159" t="s">
        <v>83</v>
      </c>
      <c r="AY149" s="159" t="s">
        <v>266</v>
      </c>
      <c r="BE149" s="180">
        <f>IF(N149="základní",J149,0)</f>
        <v>0</v>
      </c>
      <c r="BF149" s="180">
        <f>IF(N149="snížená",J149,0)</f>
        <v>0</v>
      </c>
      <c r="BG149" s="180">
        <f>IF(N149="zákl. přenesená",J149,0)</f>
        <v>0</v>
      </c>
      <c r="BH149" s="180">
        <f>IF(N149="sníž. přenesená",J149,0)</f>
        <v>0</v>
      </c>
      <c r="BI149" s="180">
        <f>IF(N149="nulová",J149,0)</f>
        <v>0</v>
      </c>
      <c r="BJ149" s="159" t="s">
        <v>77</v>
      </c>
      <c r="BK149" s="180">
        <f>ROUND(I149*H149,2)</f>
        <v>0</v>
      </c>
      <c r="BL149" s="159" t="s">
        <v>90</v>
      </c>
      <c r="BM149" s="159" t="s">
        <v>360</v>
      </c>
    </row>
    <row r="150" spans="2:47" s="14" customFormat="1" ht="13.5" customHeight="1">
      <c r="B150" s="16"/>
      <c r="D150" s="127" t="s">
        <v>82</v>
      </c>
      <c r="F150" s="128" t="s">
        <v>361</v>
      </c>
      <c r="K150" s="16"/>
      <c r="L150" s="16"/>
      <c r="M150" s="181"/>
      <c r="N150" s="16"/>
      <c r="O150" s="16"/>
      <c r="P150" s="16"/>
      <c r="Q150" s="16"/>
      <c r="R150" s="16"/>
      <c r="S150" s="16"/>
      <c r="T150" s="182"/>
      <c r="AT150" s="159" t="s">
        <v>82</v>
      </c>
      <c r="AU150" s="159" t="s">
        <v>83</v>
      </c>
    </row>
    <row r="151" spans="2:51" s="183" customFormat="1" ht="13.5" customHeight="1">
      <c r="B151" s="184"/>
      <c r="D151" s="127" t="s">
        <v>194</v>
      </c>
      <c r="E151" s="185"/>
      <c r="F151" s="186" t="s">
        <v>362</v>
      </c>
      <c r="H151" s="187">
        <f>(196*0.35+14*(1*1-0.8*0.8))</f>
        <v>73.63999999999999</v>
      </c>
      <c r="K151" s="184"/>
      <c r="L151" s="184"/>
      <c r="M151" s="188"/>
      <c r="N151" s="184"/>
      <c r="O151" s="184"/>
      <c r="P151" s="184"/>
      <c r="Q151" s="184"/>
      <c r="R151" s="184"/>
      <c r="S151" s="184"/>
      <c r="T151" s="189"/>
      <c r="AT151" s="190" t="s">
        <v>194</v>
      </c>
      <c r="AU151" s="190" t="s">
        <v>83</v>
      </c>
      <c r="AV151" s="183" t="s">
        <v>83</v>
      </c>
      <c r="AW151" s="183" t="s">
        <v>274</v>
      </c>
      <c r="AX151" s="183" t="s">
        <v>77</v>
      </c>
      <c r="AY151" s="190" t="s">
        <v>266</v>
      </c>
    </row>
    <row r="152" spans="2:65" s="14" customFormat="1" ht="31.5" customHeight="1">
      <c r="B152" s="120"/>
      <c r="C152" s="121" t="s">
        <v>142</v>
      </c>
      <c r="D152" s="121" t="s">
        <v>78</v>
      </c>
      <c r="E152" s="122" t="s">
        <v>363</v>
      </c>
      <c r="F152" s="123" t="s">
        <v>364</v>
      </c>
      <c r="G152" s="124" t="s">
        <v>270</v>
      </c>
      <c r="H152" s="125">
        <v>293</v>
      </c>
      <c r="I152" s="126">
        <v>0</v>
      </c>
      <c r="J152" s="126">
        <f>ROUND(I152*H152,2)</f>
        <v>0</v>
      </c>
      <c r="K152" s="175"/>
      <c r="L152" s="16"/>
      <c r="M152" s="176"/>
      <c r="N152" s="177" t="s">
        <v>24</v>
      </c>
      <c r="O152" s="178"/>
      <c r="P152" s="178"/>
      <c r="Q152" s="178"/>
      <c r="R152" s="178"/>
      <c r="S152" s="178"/>
      <c r="T152" s="179"/>
      <c r="AR152" s="159" t="s">
        <v>90</v>
      </c>
      <c r="AT152" s="159" t="s">
        <v>78</v>
      </c>
      <c r="AU152" s="159" t="s">
        <v>83</v>
      </c>
      <c r="AY152" s="159" t="s">
        <v>266</v>
      </c>
      <c r="BE152" s="180">
        <f>IF(N152="základní",J152,0)</f>
        <v>0</v>
      </c>
      <c r="BF152" s="180">
        <f>IF(N152="snížená",J152,0)</f>
        <v>0</v>
      </c>
      <c r="BG152" s="180">
        <f>IF(N152="zákl. přenesená",J152,0)</f>
        <v>0</v>
      </c>
      <c r="BH152" s="180">
        <f>IF(N152="sníž. přenesená",J152,0)</f>
        <v>0</v>
      </c>
      <c r="BI152" s="180">
        <f>IF(N152="nulová",J152,0)</f>
        <v>0</v>
      </c>
      <c r="BJ152" s="159" t="s">
        <v>77</v>
      </c>
      <c r="BK152" s="180">
        <f>ROUND(I152*H152,2)</f>
        <v>0</v>
      </c>
      <c r="BL152" s="159" t="s">
        <v>90</v>
      </c>
      <c r="BM152" s="159" t="s">
        <v>365</v>
      </c>
    </row>
    <row r="153" spans="2:47" s="14" customFormat="1" ht="40.5" customHeight="1">
      <c r="B153" s="16"/>
      <c r="D153" s="127" t="s">
        <v>82</v>
      </c>
      <c r="F153" s="128" t="s">
        <v>366</v>
      </c>
      <c r="K153" s="16"/>
      <c r="L153" s="16"/>
      <c r="M153" s="181"/>
      <c r="N153" s="16"/>
      <c r="O153" s="16"/>
      <c r="P153" s="16"/>
      <c r="Q153" s="16"/>
      <c r="R153" s="16"/>
      <c r="S153" s="16"/>
      <c r="T153" s="182"/>
      <c r="AT153" s="159" t="s">
        <v>82</v>
      </c>
      <c r="AU153" s="159" t="s">
        <v>83</v>
      </c>
    </row>
    <row r="154" spans="2:51" s="183" customFormat="1" ht="13.5" customHeight="1">
      <c r="B154" s="184"/>
      <c r="D154" s="131" t="s">
        <v>194</v>
      </c>
      <c r="E154" s="190"/>
      <c r="F154" s="210" t="s">
        <v>367</v>
      </c>
      <c r="H154" s="211"/>
      <c r="K154" s="184"/>
      <c r="L154" s="184"/>
      <c r="M154" s="188"/>
      <c r="N154" s="184"/>
      <c r="O154" s="184"/>
      <c r="P154" s="184"/>
      <c r="Q154" s="184"/>
      <c r="R154" s="184"/>
      <c r="S154" s="184"/>
      <c r="T154" s="189"/>
      <c r="AT154" s="190" t="s">
        <v>194</v>
      </c>
      <c r="AU154" s="190" t="s">
        <v>83</v>
      </c>
      <c r="AV154" s="183" t="s">
        <v>83</v>
      </c>
      <c r="AW154" s="183" t="s">
        <v>274</v>
      </c>
      <c r="AX154" s="183" t="s">
        <v>265</v>
      </c>
      <c r="AY154" s="190" t="s">
        <v>266</v>
      </c>
    </row>
    <row r="155" spans="2:65" s="14" customFormat="1" ht="22.5" customHeight="1">
      <c r="B155" s="120"/>
      <c r="C155" s="121" t="s">
        <v>368</v>
      </c>
      <c r="D155" s="121" t="s">
        <v>78</v>
      </c>
      <c r="E155" s="122"/>
      <c r="F155" s="123" t="s">
        <v>369</v>
      </c>
      <c r="G155" s="124" t="s">
        <v>370</v>
      </c>
      <c r="H155" s="125">
        <v>6</v>
      </c>
      <c r="I155" s="126">
        <v>0</v>
      </c>
      <c r="J155" s="126">
        <f>ROUND(I155*H155,2)</f>
        <v>0</v>
      </c>
      <c r="K155" s="175"/>
      <c r="L155" s="16"/>
      <c r="M155" s="176"/>
      <c r="N155" s="177" t="s">
        <v>24</v>
      </c>
      <c r="O155" s="178"/>
      <c r="P155" s="178"/>
      <c r="Q155" s="178"/>
      <c r="R155" s="178"/>
      <c r="S155" s="178"/>
      <c r="T155" s="179"/>
      <c r="AR155" s="159" t="s">
        <v>90</v>
      </c>
      <c r="AT155" s="159" t="s">
        <v>78</v>
      </c>
      <c r="AU155" s="159" t="s">
        <v>83</v>
      </c>
      <c r="AY155" s="159" t="s">
        <v>266</v>
      </c>
      <c r="BE155" s="180">
        <f>IF(N155="základní",J155,0)</f>
        <v>0</v>
      </c>
      <c r="BF155" s="180">
        <f>IF(N155="snížená",J155,0)</f>
        <v>0</v>
      </c>
      <c r="BG155" s="180">
        <f>IF(N155="zákl. přenesená",J155,0)</f>
        <v>0</v>
      </c>
      <c r="BH155" s="180">
        <f>IF(N155="sníž. přenesená",J155,0)</f>
        <v>0</v>
      </c>
      <c r="BI155" s="180">
        <f>IF(N155="nulová",J155,0)</f>
        <v>0</v>
      </c>
      <c r="BJ155" s="159" t="s">
        <v>77</v>
      </c>
      <c r="BK155" s="180">
        <f>ROUND(I155*H155,2)</f>
        <v>0</v>
      </c>
      <c r="BL155" s="159" t="s">
        <v>90</v>
      </c>
      <c r="BM155" s="159" t="s">
        <v>371</v>
      </c>
    </row>
    <row r="156" spans="2:65" s="14" customFormat="1" ht="22.5" customHeight="1">
      <c r="B156" s="120"/>
      <c r="C156" s="121" t="s">
        <v>146</v>
      </c>
      <c r="D156" s="121" t="s">
        <v>78</v>
      </c>
      <c r="E156" s="122"/>
      <c r="F156" s="123" t="s">
        <v>372</v>
      </c>
      <c r="G156" s="124" t="s">
        <v>370</v>
      </c>
      <c r="H156" s="125">
        <v>1</v>
      </c>
      <c r="I156" s="126">
        <v>0</v>
      </c>
      <c r="J156" s="126">
        <f>ROUND(I156*H156,2)</f>
        <v>0</v>
      </c>
      <c r="K156" s="175"/>
      <c r="L156" s="16"/>
      <c r="M156" s="176"/>
      <c r="N156" s="177" t="s">
        <v>24</v>
      </c>
      <c r="O156" s="178"/>
      <c r="P156" s="178"/>
      <c r="Q156" s="178"/>
      <c r="R156" s="178"/>
      <c r="S156" s="178"/>
      <c r="T156" s="179"/>
      <c r="AR156" s="159" t="s">
        <v>90</v>
      </c>
      <c r="AT156" s="159" t="s">
        <v>78</v>
      </c>
      <c r="AU156" s="159" t="s">
        <v>83</v>
      </c>
      <c r="AY156" s="159" t="s">
        <v>266</v>
      </c>
      <c r="BE156" s="180">
        <f>IF(N156="základní",J156,0)</f>
        <v>0</v>
      </c>
      <c r="BF156" s="180">
        <f>IF(N156="snížená",J156,0)</f>
        <v>0</v>
      </c>
      <c r="BG156" s="180">
        <f>IF(N156="zákl. přenesená",J156,0)</f>
        <v>0</v>
      </c>
      <c r="BH156" s="180">
        <f>IF(N156="sníž. přenesená",J156,0)</f>
        <v>0</v>
      </c>
      <c r="BI156" s="180">
        <f>IF(N156="nulová",J156,0)</f>
        <v>0</v>
      </c>
      <c r="BJ156" s="159" t="s">
        <v>77</v>
      </c>
      <c r="BK156" s="180">
        <f>ROUND(I156*H156,2)</f>
        <v>0</v>
      </c>
      <c r="BL156" s="159" t="s">
        <v>90</v>
      </c>
      <c r="BM156" s="159" t="s">
        <v>373</v>
      </c>
    </row>
    <row r="157" spans="2:47" s="14" customFormat="1" ht="13.5" customHeight="1">
      <c r="B157" s="16"/>
      <c r="D157" s="127" t="s">
        <v>82</v>
      </c>
      <c r="F157" s="128" t="s">
        <v>374</v>
      </c>
      <c r="K157" s="16"/>
      <c r="L157" s="16"/>
      <c r="M157" s="181"/>
      <c r="N157" s="16"/>
      <c r="O157" s="16"/>
      <c r="P157" s="16"/>
      <c r="Q157" s="16"/>
      <c r="R157" s="16"/>
      <c r="S157" s="16"/>
      <c r="T157" s="182"/>
      <c r="AT157" s="159" t="s">
        <v>82</v>
      </c>
      <c r="AU157" s="159" t="s">
        <v>83</v>
      </c>
    </row>
    <row r="158" spans="2:65" s="14" customFormat="1" ht="22.5" customHeight="1">
      <c r="B158" s="120"/>
      <c r="C158" s="121" t="s">
        <v>149</v>
      </c>
      <c r="D158" s="121" t="s">
        <v>78</v>
      </c>
      <c r="E158" s="122"/>
      <c r="F158" s="123" t="s">
        <v>375</v>
      </c>
      <c r="G158" s="124" t="s">
        <v>370</v>
      </c>
      <c r="H158" s="125">
        <v>16</v>
      </c>
      <c r="I158" s="126">
        <v>0</v>
      </c>
      <c r="J158" s="126">
        <f>ROUND(I158*H158,2)</f>
        <v>0</v>
      </c>
      <c r="K158" s="175"/>
      <c r="L158" s="16"/>
      <c r="M158" s="176"/>
      <c r="N158" s="177" t="s">
        <v>24</v>
      </c>
      <c r="O158" s="178"/>
      <c r="P158" s="178"/>
      <c r="Q158" s="178"/>
      <c r="R158" s="178"/>
      <c r="S158" s="178"/>
      <c r="T158" s="179"/>
      <c r="AR158" s="159" t="s">
        <v>90</v>
      </c>
      <c r="AT158" s="159" t="s">
        <v>78</v>
      </c>
      <c r="AU158" s="159" t="s">
        <v>83</v>
      </c>
      <c r="AY158" s="159" t="s">
        <v>266</v>
      </c>
      <c r="BE158" s="180">
        <f>IF(N158="základní",J158,0)</f>
        <v>0</v>
      </c>
      <c r="BF158" s="180">
        <f>IF(N158="snížená",J158,0)</f>
        <v>0</v>
      </c>
      <c r="BG158" s="180">
        <f>IF(N158="zákl. přenesená",J158,0)</f>
        <v>0</v>
      </c>
      <c r="BH158" s="180">
        <f>IF(N158="sníž. přenesená",J158,0)</f>
        <v>0</v>
      </c>
      <c r="BI158" s="180">
        <f>IF(N158="nulová",J158,0)</f>
        <v>0</v>
      </c>
      <c r="BJ158" s="159" t="s">
        <v>77</v>
      </c>
      <c r="BK158" s="180">
        <f>ROUND(I158*H158,2)</f>
        <v>0</v>
      </c>
      <c r="BL158" s="159" t="s">
        <v>90</v>
      </c>
      <c r="BM158" s="159" t="s">
        <v>376</v>
      </c>
    </row>
    <row r="159" spans="2:47" s="14" customFormat="1" ht="13.5" customHeight="1">
      <c r="B159" s="16"/>
      <c r="D159" s="127" t="s">
        <v>82</v>
      </c>
      <c r="F159" s="128" t="s">
        <v>375</v>
      </c>
      <c r="K159" s="16"/>
      <c r="L159" s="16"/>
      <c r="M159" s="181"/>
      <c r="N159" s="16"/>
      <c r="O159" s="16"/>
      <c r="P159" s="16"/>
      <c r="Q159" s="16"/>
      <c r="R159" s="16"/>
      <c r="S159" s="16"/>
      <c r="T159" s="182"/>
      <c r="AT159" s="159" t="s">
        <v>82</v>
      </c>
      <c r="AU159" s="159" t="s">
        <v>83</v>
      </c>
    </row>
    <row r="160" spans="2:65" s="14" customFormat="1" ht="22.5" customHeight="1">
      <c r="B160" s="120"/>
      <c r="C160" s="121" t="s">
        <v>377</v>
      </c>
      <c r="D160" s="121" t="s">
        <v>78</v>
      </c>
      <c r="E160" s="122"/>
      <c r="F160" s="123" t="s">
        <v>378</v>
      </c>
      <c r="G160" s="124" t="s">
        <v>370</v>
      </c>
      <c r="H160" s="125">
        <v>14</v>
      </c>
      <c r="I160" s="126">
        <v>0</v>
      </c>
      <c r="J160" s="126">
        <f>ROUND(I160*H160,2)</f>
        <v>0</v>
      </c>
      <c r="K160" s="175"/>
      <c r="L160" s="16"/>
      <c r="M160" s="176"/>
      <c r="N160" s="177" t="s">
        <v>24</v>
      </c>
      <c r="O160" s="178"/>
      <c r="P160" s="178"/>
      <c r="Q160" s="178"/>
      <c r="R160" s="178"/>
      <c r="S160" s="178"/>
      <c r="T160" s="179"/>
      <c r="AR160" s="159" t="s">
        <v>90</v>
      </c>
      <c r="AT160" s="159" t="s">
        <v>78</v>
      </c>
      <c r="AU160" s="159" t="s">
        <v>83</v>
      </c>
      <c r="AY160" s="159" t="s">
        <v>266</v>
      </c>
      <c r="BE160" s="180">
        <f>IF(N160="základní",J160,0)</f>
        <v>0</v>
      </c>
      <c r="BF160" s="180">
        <f>IF(N160="snížená",J160,0)</f>
        <v>0</v>
      </c>
      <c r="BG160" s="180">
        <f>IF(N160="zákl. přenesená",J160,0)</f>
        <v>0</v>
      </c>
      <c r="BH160" s="180">
        <f>IF(N160="sníž. přenesená",J160,0)</f>
        <v>0</v>
      </c>
      <c r="BI160" s="180">
        <f>IF(N160="nulová",J160,0)</f>
        <v>0</v>
      </c>
      <c r="BJ160" s="159" t="s">
        <v>77</v>
      </c>
      <c r="BK160" s="180">
        <f>ROUND(I160*H160,2)</f>
        <v>0</v>
      </c>
      <c r="BL160" s="159" t="s">
        <v>90</v>
      </c>
      <c r="BM160" s="159" t="s">
        <v>379</v>
      </c>
    </row>
    <row r="161" spans="2:47" s="14" customFormat="1" ht="13.5" customHeight="1">
      <c r="B161" s="16"/>
      <c r="D161" s="131" t="s">
        <v>82</v>
      </c>
      <c r="F161" s="132" t="s">
        <v>378</v>
      </c>
      <c r="K161" s="16"/>
      <c r="L161" s="16"/>
      <c r="M161" s="181"/>
      <c r="N161" s="16"/>
      <c r="O161" s="16"/>
      <c r="P161" s="16"/>
      <c r="Q161" s="16"/>
      <c r="R161" s="16"/>
      <c r="S161" s="16"/>
      <c r="T161" s="182"/>
      <c r="AT161" s="159" t="s">
        <v>82</v>
      </c>
      <c r="AU161" s="159" t="s">
        <v>83</v>
      </c>
    </row>
    <row r="162" spans="2:63" s="114" customFormat="1" ht="29.25" customHeight="1">
      <c r="B162" s="115"/>
      <c r="D162" s="116" t="s">
        <v>74</v>
      </c>
      <c r="E162" s="139" t="s">
        <v>83</v>
      </c>
      <c r="F162" s="139" t="s">
        <v>380</v>
      </c>
      <c r="J162" s="140">
        <f>BK162</f>
        <v>0</v>
      </c>
      <c r="K162" s="115"/>
      <c r="L162" s="115"/>
      <c r="M162" s="170"/>
      <c r="N162" s="115"/>
      <c r="O162" s="115"/>
      <c r="P162" s="171"/>
      <c r="Q162" s="115"/>
      <c r="R162" s="171"/>
      <c r="S162" s="115"/>
      <c r="T162" s="172"/>
      <c r="AR162" s="136" t="s">
        <v>77</v>
      </c>
      <c r="AT162" s="173" t="s">
        <v>74</v>
      </c>
      <c r="AU162" s="173" t="s">
        <v>77</v>
      </c>
      <c r="AY162" s="136" t="s">
        <v>266</v>
      </c>
      <c r="BK162" s="174">
        <f>SUM(BK163:BK169)</f>
        <v>0</v>
      </c>
    </row>
    <row r="163" spans="2:65" s="14" customFormat="1" ht="22.5" customHeight="1">
      <c r="B163" s="120"/>
      <c r="C163" s="121" t="s">
        <v>381</v>
      </c>
      <c r="D163" s="121" t="s">
        <v>78</v>
      </c>
      <c r="E163" s="122" t="s">
        <v>382</v>
      </c>
      <c r="F163" s="123" t="s">
        <v>383</v>
      </c>
      <c r="G163" s="124" t="s">
        <v>270</v>
      </c>
      <c r="H163" s="125">
        <f>H165</f>
        <v>51</v>
      </c>
      <c r="I163" s="126">
        <v>0</v>
      </c>
      <c r="J163" s="126">
        <f>ROUND(I163*H163,2)</f>
        <v>0</v>
      </c>
      <c r="K163" s="175"/>
      <c r="L163" s="16"/>
      <c r="M163" s="176"/>
      <c r="N163" s="177" t="s">
        <v>24</v>
      </c>
      <c r="O163" s="178"/>
      <c r="P163" s="178"/>
      <c r="Q163" s="178"/>
      <c r="R163" s="178"/>
      <c r="S163" s="178"/>
      <c r="T163" s="179"/>
      <c r="AR163" s="159" t="s">
        <v>90</v>
      </c>
      <c r="AT163" s="159" t="s">
        <v>78</v>
      </c>
      <c r="AU163" s="159" t="s">
        <v>83</v>
      </c>
      <c r="AY163" s="159" t="s">
        <v>266</v>
      </c>
      <c r="BE163" s="180">
        <f>IF(N163="základní",J163,0)</f>
        <v>0</v>
      </c>
      <c r="BF163" s="180">
        <f>IF(N163="snížená",J163,0)</f>
        <v>0</v>
      </c>
      <c r="BG163" s="180">
        <f>IF(N163="zákl. přenesená",J163,0)</f>
        <v>0</v>
      </c>
      <c r="BH163" s="180">
        <f>IF(N163="sníž. přenesená",J163,0)</f>
        <v>0</v>
      </c>
      <c r="BI163" s="180">
        <f>IF(N163="nulová",J163,0)</f>
        <v>0</v>
      </c>
      <c r="BJ163" s="159" t="s">
        <v>77</v>
      </c>
      <c r="BK163" s="180">
        <f>ROUND(I163*H163,2)</f>
        <v>0</v>
      </c>
      <c r="BL163" s="159" t="s">
        <v>90</v>
      </c>
      <c r="BM163" s="159" t="s">
        <v>384</v>
      </c>
    </row>
    <row r="164" spans="2:47" s="14" customFormat="1" ht="27" customHeight="1">
      <c r="B164" s="16"/>
      <c r="D164" s="127" t="s">
        <v>82</v>
      </c>
      <c r="F164" s="128" t="s">
        <v>385</v>
      </c>
      <c r="K164" s="16"/>
      <c r="L164" s="16"/>
      <c r="M164" s="181"/>
      <c r="N164" s="16"/>
      <c r="O164" s="16"/>
      <c r="P164" s="16"/>
      <c r="Q164" s="16"/>
      <c r="R164" s="16"/>
      <c r="S164" s="16"/>
      <c r="T164" s="182"/>
      <c r="AT164" s="159" t="s">
        <v>82</v>
      </c>
      <c r="AU164" s="159" t="s">
        <v>83</v>
      </c>
    </row>
    <row r="165" spans="2:51" s="14" customFormat="1" ht="13.5" customHeight="1">
      <c r="B165" s="16"/>
      <c r="D165" s="149" t="s">
        <v>194</v>
      </c>
      <c r="E165" s="159"/>
      <c r="F165" s="199" t="s">
        <v>386</v>
      </c>
      <c r="H165" s="200">
        <f>(30*1*1+(28+7+7)*0.5)</f>
        <v>51</v>
      </c>
      <c r="K165" s="16"/>
      <c r="L165" s="16"/>
      <c r="M165" s="181"/>
      <c r="N165" s="16"/>
      <c r="O165" s="16"/>
      <c r="P165" s="16"/>
      <c r="Q165" s="16"/>
      <c r="R165" s="16"/>
      <c r="S165" s="16"/>
      <c r="T165" s="182"/>
      <c r="AT165" s="159" t="s">
        <v>194</v>
      </c>
      <c r="AU165" s="159" t="s">
        <v>83</v>
      </c>
      <c r="AV165" s="14" t="s">
        <v>83</v>
      </c>
      <c r="AW165" s="14" t="s">
        <v>274</v>
      </c>
      <c r="AX165" s="14" t="s">
        <v>265</v>
      </c>
      <c r="AY165" s="159" t="s">
        <v>266</v>
      </c>
    </row>
    <row r="166" spans="2:65" s="14" customFormat="1" ht="22.5" customHeight="1">
      <c r="B166" s="120"/>
      <c r="C166" s="121" t="s">
        <v>387</v>
      </c>
      <c r="D166" s="121" t="s">
        <v>78</v>
      </c>
      <c r="E166" s="191" t="s">
        <v>388</v>
      </c>
      <c r="F166" s="123" t="s">
        <v>389</v>
      </c>
      <c r="G166" s="124" t="s">
        <v>193</v>
      </c>
      <c r="H166" s="125">
        <f>H168</f>
        <v>12.764250000000002</v>
      </c>
      <c r="I166" s="126">
        <v>0</v>
      </c>
      <c r="J166" s="126">
        <f>ROUND(I166*H166,2)</f>
        <v>0</v>
      </c>
      <c r="K166" s="175"/>
      <c r="L166" s="16"/>
      <c r="M166" s="176"/>
      <c r="N166" s="177" t="s">
        <v>24</v>
      </c>
      <c r="O166" s="178"/>
      <c r="P166" s="178"/>
      <c r="Q166" s="178"/>
      <c r="R166" s="178"/>
      <c r="S166" s="178"/>
      <c r="T166" s="179"/>
      <c r="AR166" s="159" t="s">
        <v>90</v>
      </c>
      <c r="AT166" s="159" t="s">
        <v>78</v>
      </c>
      <c r="AU166" s="159" t="s">
        <v>83</v>
      </c>
      <c r="AY166" s="159" t="s">
        <v>266</v>
      </c>
      <c r="BE166" s="180">
        <f>IF(N166="základní",J166,0)</f>
        <v>0</v>
      </c>
      <c r="BF166" s="180">
        <f>IF(N166="snížená",J166,0)</f>
        <v>0</v>
      </c>
      <c r="BG166" s="180">
        <f>IF(N166="zákl. přenesená",J166,0)</f>
        <v>0</v>
      </c>
      <c r="BH166" s="180">
        <f>IF(N166="sníž. přenesená",J166,0)</f>
        <v>0</v>
      </c>
      <c r="BI166" s="180">
        <f>IF(N166="nulová",J166,0)</f>
        <v>0</v>
      </c>
      <c r="BJ166" s="159" t="s">
        <v>77</v>
      </c>
      <c r="BK166" s="180">
        <f>ROUND(I166*H166,2)</f>
        <v>0</v>
      </c>
      <c r="BL166" s="159" t="s">
        <v>90</v>
      </c>
      <c r="BM166" s="159" t="s">
        <v>390</v>
      </c>
    </row>
    <row r="167" spans="2:47" s="14" customFormat="1" ht="13.5" customHeight="1">
      <c r="B167" s="16"/>
      <c r="D167" s="127" t="s">
        <v>82</v>
      </c>
      <c r="F167" s="128" t="s">
        <v>391</v>
      </c>
      <c r="K167" s="16"/>
      <c r="L167" s="16"/>
      <c r="M167" s="181"/>
      <c r="N167" s="16"/>
      <c r="O167" s="16"/>
      <c r="P167" s="16"/>
      <c r="Q167" s="16"/>
      <c r="R167" s="16"/>
      <c r="S167" s="16"/>
      <c r="T167" s="182"/>
      <c r="AT167" s="159" t="s">
        <v>82</v>
      </c>
      <c r="AU167" s="159" t="s">
        <v>83</v>
      </c>
    </row>
    <row r="168" spans="2:51" s="183" customFormat="1" ht="17.25" customHeight="1">
      <c r="B168" s="184"/>
      <c r="D168" s="131" t="s">
        <v>194</v>
      </c>
      <c r="E168" s="190"/>
      <c r="F168" s="210" t="s">
        <v>392</v>
      </c>
      <c r="H168" s="211">
        <f>(18*0.8*0.8*1.2-0.25*0.25*3.14/4*1.2*18)</f>
        <v>12.764250000000002</v>
      </c>
      <c r="K168" s="184"/>
      <c r="L168" s="184"/>
      <c r="M168" s="188"/>
      <c r="N168" s="184"/>
      <c r="O168" s="184"/>
      <c r="P168" s="184"/>
      <c r="Q168" s="184"/>
      <c r="R168" s="184"/>
      <c r="S168" s="184"/>
      <c r="T168" s="189"/>
      <c r="AT168" s="190" t="s">
        <v>194</v>
      </c>
      <c r="AU168" s="190" t="s">
        <v>83</v>
      </c>
      <c r="AV168" s="183" t="s">
        <v>83</v>
      </c>
      <c r="AW168" s="183" t="s">
        <v>274</v>
      </c>
      <c r="AX168" s="183" t="s">
        <v>265</v>
      </c>
      <c r="AY168" s="190" t="s">
        <v>266</v>
      </c>
    </row>
    <row r="169" spans="2:65" s="14" customFormat="1" ht="22.5" customHeight="1">
      <c r="B169" s="120"/>
      <c r="C169" s="121" t="s">
        <v>393</v>
      </c>
      <c r="D169" s="121" t="s">
        <v>78</v>
      </c>
      <c r="E169" s="122" t="s">
        <v>394</v>
      </c>
      <c r="F169" s="123" t="s">
        <v>395</v>
      </c>
      <c r="G169" s="124" t="s">
        <v>370</v>
      </c>
      <c r="H169" s="125">
        <v>30</v>
      </c>
      <c r="I169" s="126">
        <v>0</v>
      </c>
      <c r="J169" s="126">
        <f>ROUND(I169*H169,2)</f>
        <v>0</v>
      </c>
      <c r="K169" s="175"/>
      <c r="L169" s="16"/>
      <c r="M169" s="176"/>
      <c r="N169" s="177" t="s">
        <v>24</v>
      </c>
      <c r="O169" s="178"/>
      <c r="P169" s="178"/>
      <c r="Q169" s="178"/>
      <c r="R169" s="178"/>
      <c r="S169" s="178"/>
      <c r="T169" s="179"/>
      <c r="AR169" s="159" t="s">
        <v>90</v>
      </c>
      <c r="AT169" s="159" t="s">
        <v>78</v>
      </c>
      <c r="AU169" s="159" t="s">
        <v>83</v>
      </c>
      <c r="AY169" s="159" t="s">
        <v>266</v>
      </c>
      <c r="BE169" s="180">
        <f>IF(N169="základní",J169,0)</f>
        <v>0</v>
      </c>
      <c r="BF169" s="180">
        <f>IF(N169="snížená",J169,0)</f>
        <v>0</v>
      </c>
      <c r="BG169" s="180">
        <f>IF(N169="zákl. přenesená",J169,0)</f>
        <v>0</v>
      </c>
      <c r="BH169" s="180">
        <f>IF(N169="sníž. přenesená",J169,0)</f>
        <v>0</v>
      </c>
      <c r="BI169" s="180">
        <f>IF(N169="nulová",J169,0)</f>
        <v>0</v>
      </c>
      <c r="BJ169" s="159" t="s">
        <v>77</v>
      </c>
      <c r="BK169" s="180">
        <f>ROUND(I169*H169,2)</f>
        <v>0</v>
      </c>
      <c r="BL169" s="159" t="s">
        <v>90</v>
      </c>
      <c r="BM169" s="159" t="s">
        <v>396</v>
      </c>
    </row>
    <row r="170" spans="2:63" s="114" customFormat="1" ht="29.25" customHeight="1">
      <c r="B170" s="115"/>
      <c r="D170" s="116" t="s">
        <v>74</v>
      </c>
      <c r="E170" s="139" t="s">
        <v>90</v>
      </c>
      <c r="F170" s="139" t="s">
        <v>397</v>
      </c>
      <c r="J170" s="140">
        <f>BK170</f>
        <v>0</v>
      </c>
      <c r="K170" s="115"/>
      <c r="L170" s="115"/>
      <c r="M170" s="170"/>
      <c r="N170" s="115"/>
      <c r="O170" s="115"/>
      <c r="P170" s="171"/>
      <c r="Q170" s="115"/>
      <c r="R170" s="171"/>
      <c r="S170" s="115"/>
      <c r="T170" s="172"/>
      <c r="AR170" s="136" t="s">
        <v>77</v>
      </c>
      <c r="AT170" s="173" t="s">
        <v>74</v>
      </c>
      <c r="AU170" s="173" t="s">
        <v>77</v>
      </c>
      <c r="AY170" s="136" t="s">
        <v>266</v>
      </c>
      <c r="BK170" s="174">
        <f>SUM(BK171:BK173)</f>
        <v>0</v>
      </c>
    </row>
    <row r="171" spans="2:65" s="14" customFormat="1" ht="22.5" customHeight="1">
      <c r="B171" s="120"/>
      <c r="C171" s="121">
        <v>29</v>
      </c>
      <c r="D171" s="121" t="s">
        <v>78</v>
      </c>
      <c r="E171" s="122" t="s">
        <v>398</v>
      </c>
      <c r="F171" s="123" t="s">
        <v>399</v>
      </c>
      <c r="G171" s="124" t="s">
        <v>193</v>
      </c>
      <c r="H171" s="125">
        <f>H173</f>
        <v>14.655000000000001</v>
      </c>
      <c r="I171" s="126">
        <v>0</v>
      </c>
      <c r="J171" s="126">
        <f>ROUND(I171*H171,2)</f>
        <v>0</v>
      </c>
      <c r="K171" s="175"/>
      <c r="L171" s="16"/>
      <c r="M171" s="176"/>
      <c r="N171" s="177" t="s">
        <v>24</v>
      </c>
      <c r="O171" s="178"/>
      <c r="P171" s="178"/>
      <c r="Q171" s="178"/>
      <c r="R171" s="178"/>
      <c r="S171" s="178"/>
      <c r="T171" s="179"/>
      <c r="AR171" s="159" t="s">
        <v>90</v>
      </c>
      <c r="AT171" s="159" t="s">
        <v>78</v>
      </c>
      <c r="AU171" s="159" t="s">
        <v>83</v>
      </c>
      <c r="AY171" s="159" t="s">
        <v>266</v>
      </c>
      <c r="BE171" s="180">
        <f>IF(N171="základní",J171,0)</f>
        <v>0</v>
      </c>
      <c r="BF171" s="180">
        <f>IF(N171="snížená",J171,0)</f>
        <v>0</v>
      </c>
      <c r="BG171" s="180">
        <f>IF(N171="zákl. přenesená",J171,0)</f>
        <v>0</v>
      </c>
      <c r="BH171" s="180">
        <f>IF(N171="sníž. přenesená",J171,0)</f>
        <v>0</v>
      </c>
      <c r="BI171" s="180">
        <f>IF(N171="nulová",J171,0)</f>
        <v>0</v>
      </c>
      <c r="BJ171" s="159" t="s">
        <v>77</v>
      </c>
      <c r="BK171" s="180">
        <f>ROUND(I171*H171,2)</f>
        <v>0</v>
      </c>
      <c r="BL171" s="159" t="s">
        <v>90</v>
      </c>
      <c r="BM171" s="159" t="s">
        <v>400</v>
      </c>
    </row>
    <row r="172" spans="2:47" s="14" customFormat="1" ht="27" customHeight="1">
      <c r="B172" s="16"/>
      <c r="D172" s="131" t="s">
        <v>82</v>
      </c>
      <c r="F172" s="132" t="s">
        <v>401</v>
      </c>
      <c r="K172" s="16"/>
      <c r="L172" s="16"/>
      <c r="M172" s="181"/>
      <c r="N172" s="16"/>
      <c r="O172" s="16"/>
      <c r="P172" s="16"/>
      <c r="Q172" s="16"/>
      <c r="R172" s="16"/>
      <c r="S172" s="16"/>
      <c r="T172" s="182"/>
      <c r="AT172" s="159" t="s">
        <v>82</v>
      </c>
      <c r="AU172" s="159" t="s">
        <v>83</v>
      </c>
    </row>
    <row r="173" spans="2:51" s="183" customFormat="1" ht="13.5" customHeight="1">
      <c r="B173" s="184"/>
      <c r="D173" s="131" t="s">
        <v>194</v>
      </c>
      <c r="E173" s="190"/>
      <c r="F173" s="210" t="s">
        <v>402</v>
      </c>
      <c r="H173" s="211">
        <f>((142+128+54+29)*0.35*0.1+(28+11+7)*0.5*0.1)</f>
        <v>14.655000000000001</v>
      </c>
      <c r="K173" s="184"/>
      <c r="L173" s="184"/>
      <c r="M173" s="188"/>
      <c r="N173" s="184"/>
      <c r="O173" s="184"/>
      <c r="P173" s="184"/>
      <c r="Q173" s="184"/>
      <c r="R173" s="184"/>
      <c r="S173" s="184"/>
      <c r="T173" s="189"/>
      <c r="AT173" s="190" t="s">
        <v>194</v>
      </c>
      <c r="AU173" s="190" t="s">
        <v>83</v>
      </c>
      <c r="AV173" s="183" t="s">
        <v>83</v>
      </c>
      <c r="AW173" s="183" t="s">
        <v>274</v>
      </c>
      <c r="AX173" s="183" t="s">
        <v>77</v>
      </c>
      <c r="AY173" s="190" t="s">
        <v>266</v>
      </c>
    </row>
    <row r="174" spans="2:63" s="114" customFormat="1" ht="29.25" customHeight="1">
      <c r="B174" s="115"/>
      <c r="D174" s="116" t="s">
        <v>74</v>
      </c>
      <c r="E174" s="139" t="s">
        <v>93</v>
      </c>
      <c r="F174" s="139" t="s">
        <v>403</v>
      </c>
      <c r="J174" s="140">
        <f>BK174</f>
        <v>0</v>
      </c>
      <c r="K174" s="115"/>
      <c r="L174" s="115"/>
      <c r="M174" s="170"/>
      <c r="N174" s="115"/>
      <c r="O174" s="115"/>
      <c r="P174" s="171"/>
      <c r="Q174" s="115"/>
      <c r="R174" s="171"/>
      <c r="S174" s="115"/>
      <c r="T174" s="172"/>
      <c r="AR174" s="136" t="s">
        <v>77</v>
      </c>
      <c r="AT174" s="173" t="s">
        <v>74</v>
      </c>
      <c r="AU174" s="173" t="s">
        <v>77</v>
      </c>
      <c r="AY174" s="136" t="s">
        <v>266</v>
      </c>
      <c r="BK174" s="174">
        <f>SUM(BK175:BK182)</f>
        <v>0</v>
      </c>
    </row>
    <row r="175" spans="2:65" s="14" customFormat="1" ht="22.5" customHeight="1">
      <c r="B175" s="120"/>
      <c r="C175" s="121" t="s">
        <v>404</v>
      </c>
      <c r="D175" s="121" t="s">
        <v>78</v>
      </c>
      <c r="E175" s="122" t="s">
        <v>405</v>
      </c>
      <c r="F175" s="123" t="s">
        <v>406</v>
      </c>
      <c r="G175" s="124" t="s">
        <v>270</v>
      </c>
      <c r="H175" s="125">
        <f>H177</f>
        <v>30.5</v>
      </c>
      <c r="I175" s="126">
        <v>0</v>
      </c>
      <c r="J175" s="126">
        <f>ROUND(I175*H175,2)</f>
        <v>0</v>
      </c>
      <c r="K175" s="175"/>
      <c r="L175" s="16"/>
      <c r="M175" s="176"/>
      <c r="N175" s="177" t="s">
        <v>24</v>
      </c>
      <c r="O175" s="178"/>
      <c r="P175" s="178"/>
      <c r="Q175" s="178"/>
      <c r="R175" s="178"/>
      <c r="S175" s="178"/>
      <c r="T175" s="179"/>
      <c r="AR175" s="159" t="s">
        <v>90</v>
      </c>
      <c r="AT175" s="159" t="s">
        <v>78</v>
      </c>
      <c r="AU175" s="159" t="s">
        <v>83</v>
      </c>
      <c r="AY175" s="159" t="s">
        <v>266</v>
      </c>
      <c r="BE175" s="180">
        <f>IF(N175="základní",J175,0)</f>
        <v>0</v>
      </c>
      <c r="BF175" s="180">
        <f>IF(N175="snížená",J175,0)</f>
        <v>0</v>
      </c>
      <c r="BG175" s="180">
        <f>IF(N175="zákl. přenesená",J175,0)</f>
        <v>0</v>
      </c>
      <c r="BH175" s="180">
        <f>IF(N175="sníž. přenesená",J175,0)</f>
        <v>0</v>
      </c>
      <c r="BI175" s="180">
        <f>IF(N175="nulová",J175,0)</f>
        <v>0</v>
      </c>
      <c r="BJ175" s="159" t="s">
        <v>77</v>
      </c>
      <c r="BK175" s="180">
        <f>ROUND(I175*H175,2)</f>
        <v>0</v>
      </c>
      <c r="BL175" s="159" t="s">
        <v>90</v>
      </c>
      <c r="BM175" s="159" t="s">
        <v>407</v>
      </c>
    </row>
    <row r="176" spans="2:47" s="14" customFormat="1" ht="13.5" customHeight="1">
      <c r="B176" s="16"/>
      <c r="D176" s="131" t="s">
        <v>82</v>
      </c>
      <c r="F176" s="132" t="s">
        <v>408</v>
      </c>
      <c r="K176" s="16"/>
      <c r="L176" s="16"/>
      <c r="M176" s="181"/>
      <c r="N176" s="16"/>
      <c r="O176" s="16"/>
      <c r="P176" s="16"/>
      <c r="Q176" s="16"/>
      <c r="R176" s="16"/>
      <c r="S176" s="16"/>
      <c r="T176" s="182"/>
      <c r="AT176" s="159" t="s">
        <v>82</v>
      </c>
      <c r="AU176" s="159" t="s">
        <v>83</v>
      </c>
    </row>
    <row r="177" spans="2:51" s="14" customFormat="1" ht="13.5" customHeight="1">
      <c r="B177" s="16"/>
      <c r="D177" s="144" t="s">
        <v>194</v>
      </c>
      <c r="E177" s="227"/>
      <c r="F177" s="145" t="s">
        <v>409</v>
      </c>
      <c r="H177" s="223">
        <f>((28+3)*0.5+(7+8)*0.5*2)</f>
        <v>30.5</v>
      </c>
      <c r="K177" s="16"/>
      <c r="L177" s="16"/>
      <c r="M177" s="181"/>
      <c r="N177" s="16"/>
      <c r="O177" s="16"/>
      <c r="P177" s="16"/>
      <c r="Q177" s="16"/>
      <c r="R177" s="16"/>
      <c r="S177" s="16"/>
      <c r="T177" s="182"/>
      <c r="AT177" s="159" t="s">
        <v>194</v>
      </c>
      <c r="AU177" s="159" t="s">
        <v>83</v>
      </c>
      <c r="AV177" s="14" t="s">
        <v>83</v>
      </c>
      <c r="AW177" s="14" t="s">
        <v>274</v>
      </c>
      <c r="AX177" s="14" t="s">
        <v>77</v>
      </c>
      <c r="AY177" s="159" t="s">
        <v>266</v>
      </c>
    </row>
    <row r="178" spans="2:65" s="14" customFormat="1" ht="31.5" customHeight="1">
      <c r="B178" s="120"/>
      <c r="C178" s="121" t="s">
        <v>410</v>
      </c>
      <c r="D178" s="121" t="s">
        <v>78</v>
      </c>
      <c r="E178" s="122" t="s">
        <v>411</v>
      </c>
      <c r="F178" s="123" t="s">
        <v>412</v>
      </c>
      <c r="G178" s="124" t="s">
        <v>270</v>
      </c>
      <c r="H178" s="125">
        <f>H180</f>
        <v>7.5</v>
      </c>
      <c r="I178" s="126">
        <v>0</v>
      </c>
      <c r="J178" s="126">
        <f>ROUND(I178*H178,2)</f>
        <v>0</v>
      </c>
      <c r="K178" s="175"/>
      <c r="L178" s="16"/>
      <c r="M178" s="176"/>
      <c r="N178" s="177" t="s">
        <v>24</v>
      </c>
      <c r="O178" s="178"/>
      <c r="P178" s="178"/>
      <c r="Q178" s="178"/>
      <c r="R178" s="178"/>
      <c r="S178" s="178"/>
      <c r="T178" s="179"/>
      <c r="AR178" s="159" t="s">
        <v>90</v>
      </c>
      <c r="AT178" s="159" t="s">
        <v>78</v>
      </c>
      <c r="AU178" s="159" t="s">
        <v>83</v>
      </c>
      <c r="AY178" s="159" t="s">
        <v>266</v>
      </c>
      <c r="BE178" s="180">
        <f>IF(N178="základní",J178,0)</f>
        <v>0</v>
      </c>
      <c r="BF178" s="180">
        <f>IF(N178="snížená",J178,0)</f>
        <v>0</v>
      </c>
      <c r="BG178" s="180">
        <f>IF(N178="zákl. přenesená",J178,0)</f>
        <v>0</v>
      </c>
      <c r="BH178" s="180">
        <f>IF(N178="sníž. přenesená",J178,0)</f>
        <v>0</v>
      </c>
      <c r="BI178" s="180">
        <f>IF(N178="nulová",J178,0)</f>
        <v>0</v>
      </c>
      <c r="BJ178" s="159" t="s">
        <v>77</v>
      </c>
      <c r="BK178" s="180">
        <f>ROUND(I178*H178,2)</f>
        <v>0</v>
      </c>
      <c r="BL178" s="159" t="s">
        <v>90</v>
      </c>
      <c r="BM178" s="159" t="s">
        <v>413</v>
      </c>
    </row>
    <row r="179" spans="2:47" s="14" customFormat="1" ht="27" customHeight="1">
      <c r="B179" s="16"/>
      <c r="D179" s="131" t="s">
        <v>82</v>
      </c>
      <c r="F179" s="132" t="s">
        <v>414</v>
      </c>
      <c r="K179" s="16"/>
      <c r="L179" s="16"/>
      <c r="M179" s="181"/>
      <c r="N179" s="16"/>
      <c r="O179" s="16"/>
      <c r="P179" s="16"/>
      <c r="Q179" s="16"/>
      <c r="R179" s="16"/>
      <c r="S179" s="16"/>
      <c r="T179" s="182"/>
      <c r="AT179" s="159" t="s">
        <v>82</v>
      </c>
      <c r="AU179" s="159" t="s">
        <v>83</v>
      </c>
    </row>
    <row r="180" spans="2:51" s="183" customFormat="1" ht="13.5" customHeight="1">
      <c r="B180" s="184"/>
      <c r="D180" s="127" t="s">
        <v>194</v>
      </c>
      <c r="E180" s="185"/>
      <c r="F180" s="186" t="s">
        <v>415</v>
      </c>
      <c r="H180" s="187">
        <f>(8+7)*0.5</f>
        <v>7.5</v>
      </c>
      <c r="K180" s="184"/>
      <c r="L180" s="184"/>
      <c r="M180" s="188"/>
      <c r="N180" s="184"/>
      <c r="O180" s="184"/>
      <c r="P180" s="184"/>
      <c r="Q180" s="184"/>
      <c r="R180" s="184"/>
      <c r="S180" s="184"/>
      <c r="T180" s="189"/>
      <c r="AT180" s="190" t="s">
        <v>194</v>
      </c>
      <c r="AU180" s="190" t="s">
        <v>83</v>
      </c>
      <c r="AV180" s="183" t="s">
        <v>83</v>
      </c>
      <c r="AW180" s="183" t="s">
        <v>274</v>
      </c>
      <c r="AX180" s="183" t="s">
        <v>77</v>
      </c>
      <c r="AY180" s="190" t="s">
        <v>266</v>
      </c>
    </row>
    <row r="181" spans="2:65" s="14" customFormat="1" ht="31.5" customHeight="1">
      <c r="B181" s="120"/>
      <c r="C181" s="121" t="s">
        <v>416</v>
      </c>
      <c r="D181" s="121" t="s">
        <v>78</v>
      </c>
      <c r="E181" s="122" t="s">
        <v>417</v>
      </c>
      <c r="F181" s="123" t="s">
        <v>418</v>
      </c>
      <c r="G181" s="124" t="s">
        <v>86</v>
      </c>
      <c r="H181" s="125">
        <v>14</v>
      </c>
      <c r="I181" s="126">
        <v>0</v>
      </c>
      <c r="J181" s="126">
        <f>ROUND(I181*H181,2)</f>
        <v>0</v>
      </c>
      <c r="K181" s="175"/>
      <c r="L181" s="16"/>
      <c r="M181" s="176"/>
      <c r="N181" s="177" t="s">
        <v>24</v>
      </c>
      <c r="O181" s="178"/>
      <c r="P181" s="178"/>
      <c r="Q181" s="178"/>
      <c r="R181" s="178"/>
      <c r="S181" s="178"/>
      <c r="T181" s="179"/>
      <c r="AR181" s="159" t="s">
        <v>90</v>
      </c>
      <c r="AT181" s="159" t="s">
        <v>78</v>
      </c>
      <c r="AU181" s="159" t="s">
        <v>83</v>
      </c>
      <c r="AY181" s="159" t="s">
        <v>266</v>
      </c>
      <c r="BE181" s="180">
        <f>IF(N181="základní",J181,0)</f>
        <v>0</v>
      </c>
      <c r="BF181" s="180">
        <f>IF(N181="snížená",J181,0)</f>
        <v>0</v>
      </c>
      <c r="BG181" s="180">
        <f>IF(N181="zákl. přenesená",J181,0)</f>
        <v>0</v>
      </c>
      <c r="BH181" s="180">
        <f>IF(N181="sníž. přenesená",J181,0)</f>
        <v>0</v>
      </c>
      <c r="BI181" s="180">
        <f>IF(N181="nulová",J181,0)</f>
        <v>0</v>
      </c>
      <c r="BJ181" s="159" t="s">
        <v>77</v>
      </c>
      <c r="BK181" s="180">
        <f>ROUND(I181*H181,2)</f>
        <v>0</v>
      </c>
      <c r="BL181" s="159" t="s">
        <v>90</v>
      </c>
      <c r="BM181" s="159" t="s">
        <v>419</v>
      </c>
    </row>
    <row r="182" spans="2:47" s="14" customFormat="1" ht="27" customHeight="1">
      <c r="B182" s="16"/>
      <c r="D182" s="131" t="s">
        <v>82</v>
      </c>
      <c r="F182" s="132" t="s">
        <v>420</v>
      </c>
      <c r="K182" s="16"/>
      <c r="L182" s="16"/>
      <c r="M182" s="181"/>
      <c r="N182" s="16"/>
      <c r="O182" s="16"/>
      <c r="P182" s="16"/>
      <c r="Q182" s="16"/>
      <c r="R182" s="16"/>
      <c r="S182" s="16"/>
      <c r="T182" s="182"/>
      <c r="AT182" s="159" t="s">
        <v>82</v>
      </c>
      <c r="AU182" s="159" t="s">
        <v>83</v>
      </c>
    </row>
    <row r="183" spans="2:51" s="183" customFormat="1" ht="13.5" customHeight="1">
      <c r="B183" s="184"/>
      <c r="D183" s="127" t="s">
        <v>194</v>
      </c>
      <c r="E183" s="185"/>
      <c r="F183" s="186"/>
      <c r="H183" s="187"/>
      <c r="K183" s="184"/>
      <c r="L183" s="184"/>
      <c r="M183" s="188"/>
      <c r="N183" s="184"/>
      <c r="O183" s="184"/>
      <c r="P183" s="184"/>
      <c r="Q183" s="184"/>
      <c r="R183" s="184"/>
      <c r="S183" s="184"/>
      <c r="T183" s="189"/>
      <c r="AT183" s="190" t="s">
        <v>194</v>
      </c>
      <c r="AU183" s="190" t="s">
        <v>83</v>
      </c>
      <c r="AV183" s="183" t="s">
        <v>83</v>
      </c>
      <c r="AW183" s="183" t="s">
        <v>274</v>
      </c>
      <c r="AX183" s="183" t="s">
        <v>77</v>
      </c>
      <c r="AY183" s="190" t="s">
        <v>266</v>
      </c>
    </row>
    <row r="184" spans="2:63" s="114" customFormat="1" ht="29.25" customHeight="1">
      <c r="B184" s="115"/>
      <c r="D184" s="116" t="s">
        <v>74</v>
      </c>
      <c r="E184" s="139" t="s">
        <v>102</v>
      </c>
      <c r="F184" s="139" t="s">
        <v>421</v>
      </c>
      <c r="J184" s="140">
        <f>BK184</f>
        <v>0</v>
      </c>
      <c r="K184" s="115"/>
      <c r="L184" s="115"/>
      <c r="M184" s="170"/>
      <c r="N184" s="115"/>
      <c r="O184" s="115"/>
      <c r="P184" s="171"/>
      <c r="Q184" s="115"/>
      <c r="R184" s="171"/>
      <c r="S184" s="115"/>
      <c r="T184" s="172"/>
      <c r="AR184" s="136" t="s">
        <v>77</v>
      </c>
      <c r="AT184" s="173" t="s">
        <v>74</v>
      </c>
      <c r="AU184" s="173" t="s">
        <v>77</v>
      </c>
      <c r="AY184" s="136" t="s">
        <v>266</v>
      </c>
      <c r="BK184" s="174">
        <f>SUM(BK185:BK188)</f>
        <v>0</v>
      </c>
    </row>
    <row r="185" spans="2:65" s="214" customFormat="1" ht="22.5" customHeight="1">
      <c r="B185" s="228"/>
      <c r="C185" s="121" t="s">
        <v>422</v>
      </c>
      <c r="D185" s="229" t="s">
        <v>78</v>
      </c>
      <c r="E185" s="208" t="s">
        <v>423</v>
      </c>
      <c r="F185" s="230" t="s">
        <v>424</v>
      </c>
      <c r="G185" s="231" t="s">
        <v>86</v>
      </c>
      <c r="H185" s="213">
        <v>2104</v>
      </c>
      <c r="I185" s="232">
        <v>0</v>
      </c>
      <c r="J185" s="232">
        <f>ROUND(I185*H185,2)</f>
        <v>0</v>
      </c>
      <c r="K185" s="233"/>
      <c r="L185" s="215"/>
      <c r="M185" s="234"/>
      <c r="N185" s="235" t="s">
        <v>24</v>
      </c>
      <c r="O185" s="236"/>
      <c r="P185" s="236"/>
      <c r="Q185" s="236"/>
      <c r="R185" s="236"/>
      <c r="S185" s="236"/>
      <c r="T185" s="237"/>
      <c r="AR185" s="217" t="s">
        <v>90</v>
      </c>
      <c r="AT185" s="217" t="s">
        <v>78</v>
      </c>
      <c r="AU185" s="217" t="s">
        <v>83</v>
      </c>
      <c r="AY185" s="217" t="s">
        <v>266</v>
      </c>
      <c r="BE185" s="238">
        <f>IF(N185="základní",J185,0)</f>
        <v>0</v>
      </c>
      <c r="BF185" s="238">
        <f>IF(N185="snížená",J185,0)</f>
        <v>0</v>
      </c>
      <c r="BG185" s="238">
        <f>IF(N185="zákl. přenesená",J185,0)</f>
        <v>0</v>
      </c>
      <c r="BH185" s="238">
        <f>IF(N185="sníž. přenesená",J185,0)</f>
        <v>0</v>
      </c>
      <c r="BI185" s="238">
        <f>IF(N185="nulová",J185,0)</f>
        <v>0</v>
      </c>
      <c r="BJ185" s="217" t="s">
        <v>77</v>
      </c>
      <c r="BK185" s="238">
        <f>ROUND(I185*H185,2)</f>
        <v>0</v>
      </c>
      <c r="BL185" s="217" t="s">
        <v>90</v>
      </c>
      <c r="BM185" s="217" t="s">
        <v>425</v>
      </c>
    </row>
    <row r="186" spans="2:47" s="14" customFormat="1" ht="13.5" customHeight="1">
      <c r="B186" s="16"/>
      <c r="D186" s="127" t="s">
        <v>82</v>
      </c>
      <c r="F186" s="128" t="s">
        <v>426</v>
      </c>
      <c r="K186" s="16"/>
      <c r="L186" s="16"/>
      <c r="M186" s="181"/>
      <c r="N186" s="16"/>
      <c r="O186" s="16"/>
      <c r="P186" s="16"/>
      <c r="Q186" s="16"/>
      <c r="R186" s="16"/>
      <c r="S186" s="16"/>
      <c r="T186" s="182"/>
      <c r="AT186" s="159" t="s">
        <v>82</v>
      </c>
      <c r="AU186" s="159" t="s">
        <v>83</v>
      </c>
    </row>
    <row r="187" spans="2:65" s="14" customFormat="1" ht="22.5" customHeight="1">
      <c r="B187" s="120"/>
      <c r="C187" s="121" t="s">
        <v>427</v>
      </c>
      <c r="D187" s="121" t="s">
        <v>78</v>
      </c>
      <c r="E187" s="122" t="s">
        <v>428</v>
      </c>
      <c r="F187" s="123" t="s">
        <v>429</v>
      </c>
      <c r="G187" s="124" t="s">
        <v>86</v>
      </c>
      <c r="H187" s="125">
        <v>46</v>
      </c>
      <c r="I187" s="126">
        <v>0</v>
      </c>
      <c r="J187" s="126">
        <f>ROUND(I187*H187,2)</f>
        <v>0</v>
      </c>
      <c r="K187" s="175"/>
      <c r="L187" s="16"/>
      <c r="M187" s="176"/>
      <c r="N187" s="177" t="s">
        <v>24</v>
      </c>
      <c r="O187" s="178"/>
      <c r="P187" s="178"/>
      <c r="Q187" s="178"/>
      <c r="R187" s="178"/>
      <c r="S187" s="178"/>
      <c r="T187" s="179"/>
      <c r="AR187" s="159" t="s">
        <v>90</v>
      </c>
      <c r="AT187" s="159" t="s">
        <v>78</v>
      </c>
      <c r="AU187" s="159" t="s">
        <v>83</v>
      </c>
      <c r="AY187" s="159" t="s">
        <v>266</v>
      </c>
      <c r="BE187" s="180">
        <f>IF(N187="základní",J187,0)</f>
        <v>0</v>
      </c>
      <c r="BF187" s="180">
        <f>IF(N187="snížená",J187,0)</f>
        <v>0</v>
      </c>
      <c r="BG187" s="180">
        <f>IF(N187="zákl. přenesená",J187,0)</f>
        <v>0</v>
      </c>
      <c r="BH187" s="180">
        <f>IF(N187="sníž. přenesená",J187,0)</f>
        <v>0</v>
      </c>
      <c r="BI187" s="180">
        <f>IF(N187="nulová",J187,0)</f>
        <v>0</v>
      </c>
      <c r="BJ187" s="159" t="s">
        <v>77</v>
      </c>
      <c r="BK187" s="180">
        <f>ROUND(I187*H187,2)</f>
        <v>0</v>
      </c>
      <c r="BL187" s="159" t="s">
        <v>90</v>
      </c>
      <c r="BM187" s="159" t="s">
        <v>430</v>
      </c>
    </row>
    <row r="188" spans="2:47" s="14" customFormat="1" ht="13.5" customHeight="1">
      <c r="B188" s="16"/>
      <c r="D188" s="131" t="s">
        <v>82</v>
      </c>
      <c r="F188" s="132" t="s">
        <v>431</v>
      </c>
      <c r="K188" s="16"/>
      <c r="L188" s="16"/>
      <c r="M188" s="181"/>
      <c r="N188" s="16"/>
      <c r="O188" s="16"/>
      <c r="P188" s="16"/>
      <c r="Q188" s="16"/>
      <c r="R188" s="16"/>
      <c r="S188" s="16"/>
      <c r="T188" s="182"/>
      <c r="AT188" s="159" t="s">
        <v>82</v>
      </c>
      <c r="AU188" s="159" t="s">
        <v>83</v>
      </c>
    </row>
    <row r="189" spans="2:63" s="114" customFormat="1" ht="29.25" customHeight="1">
      <c r="B189" s="115"/>
      <c r="D189" s="116" t="s">
        <v>74</v>
      </c>
      <c r="E189" s="139" t="s">
        <v>105</v>
      </c>
      <c r="F189" s="139" t="s">
        <v>432</v>
      </c>
      <c r="J189" s="140">
        <f>BK189</f>
        <v>0</v>
      </c>
      <c r="K189" s="115"/>
      <c r="L189" s="115"/>
      <c r="M189" s="170"/>
      <c r="N189" s="115"/>
      <c r="O189" s="115"/>
      <c r="P189" s="171"/>
      <c r="Q189" s="115"/>
      <c r="R189" s="171"/>
      <c r="S189" s="115"/>
      <c r="T189" s="172"/>
      <c r="AR189" s="136" t="s">
        <v>77</v>
      </c>
      <c r="AT189" s="173" t="s">
        <v>74</v>
      </c>
      <c r="AU189" s="173" t="s">
        <v>77</v>
      </c>
      <c r="AY189" s="136" t="s">
        <v>266</v>
      </c>
      <c r="BK189" s="174">
        <f>SUM(BK190:BK200)</f>
        <v>0</v>
      </c>
    </row>
    <row r="190" spans="2:65" s="14" customFormat="1" ht="22.5" customHeight="1">
      <c r="B190" s="120"/>
      <c r="C190" s="121" t="s">
        <v>433</v>
      </c>
      <c r="D190" s="121" t="s">
        <v>78</v>
      </c>
      <c r="E190" s="122" t="s">
        <v>434</v>
      </c>
      <c r="F190" s="123" t="s">
        <v>435</v>
      </c>
      <c r="G190" s="124" t="s">
        <v>86</v>
      </c>
      <c r="H190" s="125">
        <v>2</v>
      </c>
      <c r="I190" s="126">
        <v>0</v>
      </c>
      <c r="J190" s="126">
        <f>ROUND(I190*H190,2)</f>
        <v>0</v>
      </c>
      <c r="K190" s="175"/>
      <c r="L190" s="16"/>
      <c r="M190" s="176"/>
      <c r="N190" s="177" t="s">
        <v>24</v>
      </c>
      <c r="O190" s="178"/>
      <c r="P190" s="178"/>
      <c r="Q190" s="178"/>
      <c r="R190" s="178"/>
      <c r="S190" s="178"/>
      <c r="T190" s="179"/>
      <c r="AR190" s="159" t="s">
        <v>90</v>
      </c>
      <c r="AT190" s="159" t="s">
        <v>78</v>
      </c>
      <c r="AU190" s="159" t="s">
        <v>83</v>
      </c>
      <c r="AY190" s="159" t="s">
        <v>266</v>
      </c>
      <c r="BE190" s="180">
        <f>IF(N190="základní",J190,0)</f>
        <v>0</v>
      </c>
      <c r="BF190" s="180">
        <f>IF(N190="snížená",J190,0)</f>
        <v>0</v>
      </c>
      <c r="BG190" s="180">
        <f>IF(N190="zákl. přenesená",J190,0)</f>
        <v>0</v>
      </c>
      <c r="BH190" s="180">
        <f>IF(N190="sníž. přenesená",J190,0)</f>
        <v>0</v>
      </c>
      <c r="BI190" s="180">
        <f>IF(N190="nulová",J190,0)</f>
        <v>0</v>
      </c>
      <c r="BJ190" s="159" t="s">
        <v>77</v>
      </c>
      <c r="BK190" s="180">
        <f>ROUND(I190*H190,2)</f>
        <v>0</v>
      </c>
      <c r="BL190" s="159" t="s">
        <v>90</v>
      </c>
      <c r="BM190" s="159" t="s">
        <v>436</v>
      </c>
    </row>
    <row r="191" spans="2:65" s="14" customFormat="1" ht="22.5" customHeight="1">
      <c r="B191" s="120"/>
      <c r="C191" s="121" t="s">
        <v>437</v>
      </c>
      <c r="D191" s="121" t="s">
        <v>78</v>
      </c>
      <c r="E191" s="122" t="s">
        <v>438</v>
      </c>
      <c r="F191" s="123" t="s">
        <v>439</v>
      </c>
      <c r="G191" s="124" t="s">
        <v>86</v>
      </c>
      <c r="H191" s="125">
        <v>2370</v>
      </c>
      <c r="I191" s="126">
        <v>0</v>
      </c>
      <c r="J191" s="126">
        <f>ROUND(I191*H191,2)</f>
        <v>0</v>
      </c>
      <c r="K191" s="175"/>
      <c r="L191" s="16"/>
      <c r="M191" s="176"/>
      <c r="N191" s="177" t="s">
        <v>24</v>
      </c>
      <c r="O191" s="178"/>
      <c r="P191" s="178"/>
      <c r="Q191" s="178"/>
      <c r="R191" s="178"/>
      <c r="S191" s="178"/>
      <c r="T191" s="179"/>
      <c r="AR191" s="159" t="s">
        <v>90</v>
      </c>
      <c r="AT191" s="159" t="s">
        <v>78</v>
      </c>
      <c r="AU191" s="159" t="s">
        <v>83</v>
      </c>
      <c r="AY191" s="159" t="s">
        <v>266</v>
      </c>
      <c r="BE191" s="180">
        <f>IF(N191="základní",J191,0)</f>
        <v>0</v>
      </c>
      <c r="BF191" s="180">
        <f>IF(N191="snížená",J191,0)</f>
        <v>0</v>
      </c>
      <c r="BG191" s="180">
        <f>IF(N191="zákl. přenesená",J191,0)</f>
        <v>0</v>
      </c>
      <c r="BH191" s="180">
        <f>IF(N191="sníž. přenesená",J191,0)</f>
        <v>0</v>
      </c>
      <c r="BI191" s="180">
        <f>IF(N191="nulová",J191,0)</f>
        <v>0</v>
      </c>
      <c r="BJ191" s="159" t="s">
        <v>77</v>
      </c>
      <c r="BK191" s="180">
        <f>ROUND(I191*H191,2)</f>
        <v>0</v>
      </c>
      <c r="BL191" s="159" t="s">
        <v>90</v>
      </c>
      <c r="BM191" s="159" t="s">
        <v>440</v>
      </c>
    </row>
    <row r="192" spans="2:65" s="14" customFormat="1" ht="22.5" customHeight="1">
      <c r="B192" s="120"/>
      <c r="C192" s="121" t="s">
        <v>441</v>
      </c>
      <c r="D192" s="121" t="s">
        <v>78</v>
      </c>
      <c r="E192" s="122" t="s">
        <v>442</v>
      </c>
      <c r="F192" s="123" t="s">
        <v>443</v>
      </c>
      <c r="G192" s="124" t="s">
        <v>86</v>
      </c>
      <c r="H192" s="125">
        <v>14</v>
      </c>
      <c r="I192" s="126">
        <v>0</v>
      </c>
      <c r="J192" s="126">
        <f>ROUND(I192*H192,2)</f>
        <v>0</v>
      </c>
      <c r="K192" s="175"/>
      <c r="L192" s="16"/>
      <c r="M192" s="176"/>
      <c r="N192" s="177" t="s">
        <v>24</v>
      </c>
      <c r="O192" s="178"/>
      <c r="P192" s="178"/>
      <c r="Q192" s="178"/>
      <c r="R192" s="178"/>
      <c r="S192" s="178"/>
      <c r="T192" s="179"/>
      <c r="AR192" s="159" t="s">
        <v>90</v>
      </c>
      <c r="AT192" s="159" t="s">
        <v>78</v>
      </c>
      <c r="AU192" s="159" t="s">
        <v>83</v>
      </c>
      <c r="AY192" s="159" t="s">
        <v>266</v>
      </c>
      <c r="BE192" s="180">
        <f>IF(N192="základní",J192,0)</f>
        <v>0</v>
      </c>
      <c r="BF192" s="180">
        <f>IF(N192="snížená",J192,0)</f>
        <v>0</v>
      </c>
      <c r="BG192" s="180">
        <f>IF(N192="zákl. přenesená",J192,0)</f>
        <v>0</v>
      </c>
      <c r="BH192" s="180">
        <f>IF(N192="sníž. přenesená",J192,0)</f>
        <v>0</v>
      </c>
      <c r="BI192" s="180">
        <f>IF(N192="nulová",J192,0)</f>
        <v>0</v>
      </c>
      <c r="BJ192" s="159" t="s">
        <v>77</v>
      </c>
      <c r="BK192" s="180">
        <f>ROUND(I192*H192,2)</f>
        <v>0</v>
      </c>
      <c r="BL192" s="159" t="s">
        <v>90</v>
      </c>
      <c r="BM192" s="159" t="s">
        <v>444</v>
      </c>
    </row>
    <row r="193" spans="2:47" s="14" customFormat="1" ht="13.5" customHeight="1">
      <c r="B193" s="16"/>
      <c r="D193" s="131" t="s">
        <v>82</v>
      </c>
      <c r="F193" s="132" t="s">
        <v>445</v>
      </c>
      <c r="K193" s="16"/>
      <c r="L193" s="16"/>
      <c r="M193" s="181"/>
      <c r="N193" s="16"/>
      <c r="O193" s="16"/>
      <c r="P193" s="16"/>
      <c r="Q193" s="16"/>
      <c r="R193" s="16"/>
      <c r="S193" s="16"/>
      <c r="T193" s="182"/>
      <c r="AT193" s="159" t="s">
        <v>82</v>
      </c>
      <c r="AU193" s="159" t="s">
        <v>83</v>
      </c>
    </row>
    <row r="194" spans="2:51" s="183" customFormat="1" ht="13.5" customHeight="1">
      <c r="B194" s="184"/>
      <c r="D194" s="127" t="s">
        <v>194</v>
      </c>
      <c r="E194" s="185"/>
      <c r="F194" s="186"/>
      <c r="H194" s="187">
        <f>(7*2)</f>
        <v>14</v>
      </c>
      <c r="K194" s="184"/>
      <c r="L194" s="184"/>
      <c r="M194" s="188"/>
      <c r="N194" s="184"/>
      <c r="O194" s="184"/>
      <c r="P194" s="184"/>
      <c r="Q194" s="184"/>
      <c r="R194" s="184"/>
      <c r="S194" s="184"/>
      <c r="T194" s="189"/>
      <c r="AT194" s="190" t="s">
        <v>194</v>
      </c>
      <c r="AU194" s="190" t="s">
        <v>83</v>
      </c>
      <c r="AV194" s="183" t="s">
        <v>83</v>
      </c>
      <c r="AW194" s="183" t="s">
        <v>274</v>
      </c>
      <c r="AX194" s="183" t="s">
        <v>77</v>
      </c>
      <c r="AY194" s="190" t="s">
        <v>266</v>
      </c>
    </row>
    <row r="195" spans="2:65" s="14" customFormat="1" ht="22.5" customHeight="1">
      <c r="B195" s="120"/>
      <c r="C195" s="121" t="s">
        <v>446</v>
      </c>
      <c r="D195" s="121" t="s">
        <v>78</v>
      </c>
      <c r="E195" s="122" t="s">
        <v>447</v>
      </c>
      <c r="F195" s="123" t="s">
        <v>448</v>
      </c>
      <c r="G195" s="124" t="s">
        <v>193</v>
      </c>
      <c r="H195" s="125">
        <f>H197</f>
        <v>0.692</v>
      </c>
      <c r="I195" s="126">
        <v>0</v>
      </c>
      <c r="J195" s="126">
        <f>ROUND(I195*H195,2)</f>
        <v>0</v>
      </c>
      <c r="K195" s="175"/>
      <c r="L195" s="16"/>
      <c r="M195" s="176"/>
      <c r="N195" s="177" t="s">
        <v>24</v>
      </c>
      <c r="O195" s="178"/>
      <c r="P195" s="178"/>
      <c r="Q195" s="178"/>
      <c r="R195" s="178"/>
      <c r="S195" s="178"/>
      <c r="T195" s="179"/>
      <c r="AR195" s="159" t="s">
        <v>90</v>
      </c>
      <c r="AT195" s="159" t="s">
        <v>78</v>
      </c>
      <c r="AU195" s="159" t="s">
        <v>83</v>
      </c>
      <c r="AY195" s="159" t="s">
        <v>266</v>
      </c>
      <c r="BE195" s="180">
        <f>IF(N195="základní",J195,0)</f>
        <v>0</v>
      </c>
      <c r="BF195" s="180">
        <f>IF(N195="snížená",J195,0)</f>
        <v>0</v>
      </c>
      <c r="BG195" s="180">
        <f>IF(N195="zákl. přenesená",J195,0)</f>
        <v>0</v>
      </c>
      <c r="BH195" s="180">
        <f>IF(N195="sníž. přenesená",J195,0)</f>
        <v>0</v>
      </c>
      <c r="BI195" s="180">
        <f>IF(N195="nulová",J195,0)</f>
        <v>0</v>
      </c>
      <c r="BJ195" s="159" t="s">
        <v>77</v>
      </c>
      <c r="BK195" s="180">
        <f>ROUND(I195*H195,2)</f>
        <v>0</v>
      </c>
      <c r="BL195" s="159" t="s">
        <v>90</v>
      </c>
      <c r="BM195" s="159" t="s">
        <v>449</v>
      </c>
    </row>
    <row r="196" spans="2:47" s="14" customFormat="1" ht="13.5" customHeight="1">
      <c r="B196" s="16"/>
      <c r="D196" s="127" t="s">
        <v>82</v>
      </c>
      <c r="F196" s="128" t="s">
        <v>450</v>
      </c>
      <c r="K196" s="16"/>
      <c r="L196" s="16"/>
      <c r="M196" s="181"/>
      <c r="N196" s="16"/>
      <c r="O196" s="16"/>
      <c r="P196" s="16"/>
      <c r="Q196" s="16"/>
      <c r="R196" s="16"/>
      <c r="S196" s="16"/>
      <c r="T196" s="182"/>
      <c r="AT196" s="159" t="s">
        <v>82</v>
      </c>
      <c r="AU196" s="159" t="s">
        <v>83</v>
      </c>
    </row>
    <row r="197" spans="2:51" s="183" customFormat="1" ht="13.5" customHeight="1">
      <c r="B197" s="184"/>
      <c r="D197" s="127" t="s">
        <v>194</v>
      </c>
      <c r="E197" s="185"/>
      <c r="F197" s="186" t="s">
        <v>451</v>
      </c>
      <c r="H197" s="187">
        <f>(3*0.5*0.5*0.4+2*0.7*0.7*0.4)</f>
        <v>0.692</v>
      </c>
      <c r="K197" s="184"/>
      <c r="L197" s="184"/>
      <c r="M197" s="188"/>
      <c r="N197" s="184"/>
      <c r="O197" s="184"/>
      <c r="P197" s="184"/>
      <c r="Q197" s="184"/>
      <c r="R197" s="184"/>
      <c r="S197" s="184"/>
      <c r="T197" s="189"/>
      <c r="AT197" s="190" t="s">
        <v>194</v>
      </c>
      <c r="AU197" s="190" t="s">
        <v>83</v>
      </c>
      <c r="AV197" s="183" t="s">
        <v>83</v>
      </c>
      <c r="AW197" s="183" t="s">
        <v>274</v>
      </c>
      <c r="AX197" s="183" t="s">
        <v>77</v>
      </c>
      <c r="AY197" s="190" t="s">
        <v>266</v>
      </c>
    </row>
    <row r="198" spans="2:65" s="14" customFormat="1" ht="22.5" customHeight="1">
      <c r="B198" s="120"/>
      <c r="C198" s="121">
        <v>39</v>
      </c>
      <c r="D198" s="121"/>
      <c r="E198" s="122"/>
      <c r="F198" s="123" t="s">
        <v>452</v>
      </c>
      <c r="G198" s="124" t="s">
        <v>86</v>
      </c>
      <c r="H198" s="125">
        <v>12</v>
      </c>
      <c r="I198" s="126">
        <v>0</v>
      </c>
      <c r="J198" s="126">
        <f>ROUND(I198*H198,2)</f>
        <v>0</v>
      </c>
      <c r="K198" s="175"/>
      <c r="L198" s="16"/>
      <c r="M198" s="176"/>
      <c r="N198" s="177" t="s">
        <v>24</v>
      </c>
      <c r="O198" s="178"/>
      <c r="P198" s="178"/>
      <c r="Q198" s="178"/>
      <c r="R198" s="178"/>
      <c r="S198" s="178"/>
      <c r="T198" s="179"/>
      <c r="AR198" s="159" t="s">
        <v>90</v>
      </c>
      <c r="AT198" s="159" t="s">
        <v>78</v>
      </c>
      <c r="AU198" s="159" t="s">
        <v>83</v>
      </c>
      <c r="AY198" s="159" t="s">
        <v>266</v>
      </c>
      <c r="BE198" s="180">
        <f>IF(N198="základní",J198,0)</f>
        <v>0</v>
      </c>
      <c r="BF198" s="180">
        <f>IF(N198="snížená",J198,0)</f>
        <v>0</v>
      </c>
      <c r="BG198" s="180">
        <f>IF(N198="zákl. přenesená",J198,0)</f>
        <v>0</v>
      </c>
      <c r="BH198" s="180">
        <f>IF(N198="sníž. přenesená",J198,0)</f>
        <v>0</v>
      </c>
      <c r="BI198" s="180">
        <f>IF(N198="nulová",J198,0)</f>
        <v>0</v>
      </c>
      <c r="BJ198" s="159" t="s">
        <v>77</v>
      </c>
      <c r="BK198" s="180">
        <f>ROUND(I198*H198,2)</f>
        <v>0</v>
      </c>
      <c r="BL198" s="159" t="s">
        <v>90</v>
      </c>
      <c r="BM198" s="159" t="s">
        <v>449</v>
      </c>
    </row>
    <row r="199" spans="2:47" s="14" customFormat="1" ht="13.5" customHeight="1">
      <c r="B199" s="16"/>
      <c r="D199" s="127" t="s">
        <v>82</v>
      </c>
      <c r="F199" s="128" t="s">
        <v>453</v>
      </c>
      <c r="K199" s="16"/>
      <c r="L199" s="16"/>
      <c r="M199" s="181"/>
      <c r="N199" s="16"/>
      <c r="O199" s="16"/>
      <c r="P199" s="16"/>
      <c r="Q199" s="16"/>
      <c r="R199" s="16"/>
      <c r="S199" s="16"/>
      <c r="T199" s="182"/>
      <c r="AT199" s="159" t="s">
        <v>82</v>
      </c>
      <c r="AU199" s="159" t="s">
        <v>83</v>
      </c>
    </row>
    <row r="200" spans="2:81" s="183" customFormat="1" ht="13.5" customHeight="1">
      <c r="B200" s="184"/>
      <c r="C200" s="239">
        <v>40</v>
      </c>
      <c r="D200" s="240"/>
      <c r="E200" s="241"/>
      <c r="F200" s="242" t="s">
        <v>454</v>
      </c>
      <c r="G200" s="124" t="s">
        <v>86</v>
      </c>
      <c r="H200" s="125">
        <v>9</v>
      </c>
      <c r="I200" s="126">
        <v>0</v>
      </c>
      <c r="J200" s="126">
        <f>ROUND(I200*H200,2)</f>
        <v>0</v>
      </c>
      <c r="K200" s="175"/>
      <c r="L200" s="16"/>
      <c r="M200" s="176"/>
      <c r="N200" s="177" t="s">
        <v>24</v>
      </c>
      <c r="O200" s="178"/>
      <c r="P200" s="178"/>
      <c r="Q200" s="178"/>
      <c r="R200" s="178"/>
      <c r="S200" s="178"/>
      <c r="T200" s="179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59" t="s">
        <v>90</v>
      </c>
      <c r="AS200" s="14"/>
      <c r="AT200" s="159" t="s">
        <v>78</v>
      </c>
      <c r="AU200" s="159" t="s">
        <v>83</v>
      </c>
      <c r="AV200" s="14"/>
      <c r="AW200" s="14"/>
      <c r="AX200" s="14"/>
      <c r="AY200" s="159" t="s">
        <v>266</v>
      </c>
      <c r="AZ200" s="14"/>
      <c r="BA200" s="14"/>
      <c r="BB200" s="14"/>
      <c r="BC200" s="14"/>
      <c r="BD200" s="14"/>
      <c r="BE200" s="180">
        <f>IF(N200="základní",J200,0)</f>
        <v>0</v>
      </c>
      <c r="BF200" s="180">
        <f>IF(N200="snížená",J200,0)</f>
        <v>0</v>
      </c>
      <c r="BG200" s="180">
        <f>IF(N200="zákl. přenesená",J200,0)</f>
        <v>0</v>
      </c>
      <c r="BH200" s="180">
        <f>IF(N200="sníž. přenesená",J200,0)</f>
        <v>0</v>
      </c>
      <c r="BI200" s="180">
        <f>IF(N200="nulová",J200,0)</f>
        <v>0</v>
      </c>
      <c r="BJ200" s="159" t="s">
        <v>77</v>
      </c>
      <c r="BK200" s="180">
        <f>ROUND(I200*H200,2)</f>
        <v>0</v>
      </c>
      <c r="BL200" s="159" t="s">
        <v>90</v>
      </c>
      <c r="BM200" s="159" t="s">
        <v>449</v>
      </c>
      <c r="BN200" s="14"/>
      <c r="BO200" s="14"/>
      <c r="BP200" s="14"/>
      <c r="BQ200" s="14"/>
      <c r="BR200" s="14"/>
      <c r="BS200" s="14"/>
      <c r="BT200" s="14"/>
      <c r="BU200" s="14"/>
      <c r="BV200" s="14"/>
      <c r="BW200" s="14"/>
      <c r="BX200" s="14"/>
      <c r="BY200" s="14"/>
      <c r="BZ200" s="14"/>
      <c r="CA200" s="14"/>
      <c r="CB200" s="14"/>
      <c r="CC200" s="14"/>
    </row>
    <row r="201" spans="2:51" s="183" customFormat="1" ht="13.5" customHeight="1">
      <c r="B201" s="184"/>
      <c r="D201" s="127"/>
      <c r="E201" s="185"/>
      <c r="F201" s="186"/>
      <c r="H201" s="187"/>
      <c r="K201" s="184"/>
      <c r="L201" s="184"/>
      <c r="M201" s="188"/>
      <c r="N201" s="184"/>
      <c r="O201" s="184"/>
      <c r="P201" s="184"/>
      <c r="Q201" s="184"/>
      <c r="R201" s="184"/>
      <c r="S201" s="184"/>
      <c r="T201" s="189"/>
      <c r="AT201" s="190"/>
      <c r="AU201" s="190"/>
      <c r="AY201" s="190"/>
    </row>
    <row r="202" spans="2:63" s="114" customFormat="1" ht="36.75" customHeight="1">
      <c r="B202" s="115"/>
      <c r="D202" s="136" t="s">
        <v>74</v>
      </c>
      <c r="E202" s="137" t="s">
        <v>237</v>
      </c>
      <c r="F202" s="137" t="s">
        <v>238</v>
      </c>
      <c r="J202" s="138">
        <f>BK202</f>
        <v>0</v>
      </c>
      <c r="K202" s="115"/>
      <c r="L202" s="115"/>
      <c r="M202" s="170"/>
      <c r="N202" s="115"/>
      <c r="O202" s="115"/>
      <c r="P202" s="171"/>
      <c r="Q202" s="115"/>
      <c r="R202" s="171"/>
      <c r="S202" s="115"/>
      <c r="T202" s="172"/>
      <c r="AR202" s="136" t="s">
        <v>93</v>
      </c>
      <c r="AT202" s="173" t="s">
        <v>74</v>
      </c>
      <c r="AU202" s="173" t="s">
        <v>265</v>
      </c>
      <c r="AY202" s="136" t="s">
        <v>266</v>
      </c>
      <c r="BK202" s="174">
        <f>BK203</f>
        <v>0</v>
      </c>
    </row>
    <row r="203" spans="2:63" s="114" customFormat="1" ht="19.5" customHeight="1">
      <c r="B203" s="115"/>
      <c r="D203" s="116" t="s">
        <v>74</v>
      </c>
      <c r="E203" s="139" t="s">
        <v>455</v>
      </c>
      <c r="F203" s="139" t="s">
        <v>456</v>
      </c>
      <c r="J203" s="140">
        <f>BK203</f>
        <v>0</v>
      </c>
      <c r="K203" s="115"/>
      <c r="L203" s="115"/>
      <c r="M203" s="170"/>
      <c r="N203" s="115"/>
      <c r="O203" s="115"/>
      <c r="P203" s="171"/>
      <c r="Q203" s="115"/>
      <c r="R203" s="171"/>
      <c r="S203" s="115"/>
      <c r="T203" s="172"/>
      <c r="AR203" s="136" t="s">
        <v>93</v>
      </c>
      <c r="AT203" s="173" t="s">
        <v>74</v>
      </c>
      <c r="AU203" s="173" t="s">
        <v>77</v>
      </c>
      <c r="AY203" s="136" t="s">
        <v>266</v>
      </c>
      <c r="BK203" s="174">
        <f>SUM(BK204:BK214)</f>
        <v>0</v>
      </c>
    </row>
    <row r="204" spans="2:65" s="14" customFormat="1" ht="22.5" customHeight="1">
      <c r="B204" s="120"/>
      <c r="C204" s="121" t="s">
        <v>457</v>
      </c>
      <c r="D204" s="121" t="s">
        <v>78</v>
      </c>
      <c r="E204" s="122" t="s">
        <v>458</v>
      </c>
      <c r="F204" s="123" t="s">
        <v>459</v>
      </c>
      <c r="G204" s="124" t="s">
        <v>242</v>
      </c>
      <c r="H204" s="125">
        <v>1</v>
      </c>
      <c r="I204" s="126">
        <v>0</v>
      </c>
      <c r="J204" s="126">
        <f>ROUND(I204*H204,2)</f>
        <v>0</v>
      </c>
      <c r="K204" s="175"/>
      <c r="L204" s="16"/>
      <c r="M204" s="176"/>
      <c r="N204" s="177" t="s">
        <v>24</v>
      </c>
      <c r="O204" s="178"/>
      <c r="P204" s="178"/>
      <c r="Q204" s="178"/>
      <c r="R204" s="178"/>
      <c r="S204" s="178"/>
      <c r="T204" s="179"/>
      <c r="AR204" s="159" t="s">
        <v>460</v>
      </c>
      <c r="AT204" s="159" t="s">
        <v>78</v>
      </c>
      <c r="AU204" s="159" t="s">
        <v>83</v>
      </c>
      <c r="AY204" s="159" t="s">
        <v>266</v>
      </c>
      <c r="BE204" s="180">
        <f>IF(N204="základní",J204,0)</f>
        <v>0</v>
      </c>
      <c r="BF204" s="180">
        <f>IF(N204="snížená",J204,0)</f>
        <v>0</v>
      </c>
      <c r="BG204" s="180">
        <f>IF(N204="zákl. přenesená",J204,0)</f>
        <v>0</v>
      </c>
      <c r="BH204" s="180">
        <f>IF(N204="sníž. přenesená",J204,0)</f>
        <v>0</v>
      </c>
      <c r="BI204" s="180">
        <f>IF(N204="nulová",J204,0)</f>
        <v>0</v>
      </c>
      <c r="BJ204" s="159" t="s">
        <v>77</v>
      </c>
      <c r="BK204" s="180">
        <f>ROUND(I204*H204,2)</f>
        <v>0</v>
      </c>
      <c r="BL204" s="159" t="s">
        <v>460</v>
      </c>
      <c r="BM204" s="159" t="s">
        <v>461</v>
      </c>
    </row>
    <row r="205" spans="2:47" s="14" customFormat="1" ht="13.5" customHeight="1">
      <c r="B205" s="16"/>
      <c r="D205" s="127" t="s">
        <v>82</v>
      </c>
      <c r="F205" s="128" t="s">
        <v>462</v>
      </c>
      <c r="K205" s="16"/>
      <c r="L205" s="16"/>
      <c r="M205" s="181"/>
      <c r="N205" s="16"/>
      <c r="O205" s="16"/>
      <c r="P205" s="16"/>
      <c r="Q205" s="16"/>
      <c r="R205" s="16"/>
      <c r="S205" s="16"/>
      <c r="T205" s="182"/>
      <c r="AT205" s="159" t="s">
        <v>82</v>
      </c>
      <c r="AU205" s="159" t="s">
        <v>83</v>
      </c>
    </row>
    <row r="206" spans="2:65" s="14" customFormat="1" ht="22.5" customHeight="1">
      <c r="B206" s="120"/>
      <c r="C206" s="121" t="s">
        <v>463</v>
      </c>
      <c r="D206" s="121" t="s">
        <v>78</v>
      </c>
      <c r="E206" s="122" t="s">
        <v>464</v>
      </c>
      <c r="F206" s="123" t="s">
        <v>465</v>
      </c>
      <c r="G206" s="124" t="s">
        <v>242</v>
      </c>
      <c r="H206" s="125">
        <v>1</v>
      </c>
      <c r="I206" s="126">
        <v>0</v>
      </c>
      <c r="J206" s="126">
        <f>ROUND(I206*H206,2)</f>
        <v>0</v>
      </c>
      <c r="K206" s="175"/>
      <c r="L206" s="16"/>
      <c r="M206" s="176"/>
      <c r="N206" s="177" t="s">
        <v>24</v>
      </c>
      <c r="O206" s="178"/>
      <c r="P206" s="178"/>
      <c r="Q206" s="178"/>
      <c r="R206" s="178"/>
      <c r="S206" s="178"/>
      <c r="T206" s="179"/>
      <c r="AR206" s="159" t="s">
        <v>460</v>
      </c>
      <c r="AT206" s="159" t="s">
        <v>78</v>
      </c>
      <c r="AU206" s="159" t="s">
        <v>83</v>
      </c>
      <c r="AY206" s="159" t="s">
        <v>266</v>
      </c>
      <c r="BE206" s="180">
        <f>IF(N206="základní",J206,0)</f>
        <v>0</v>
      </c>
      <c r="BF206" s="180">
        <f>IF(N206="snížená",J206,0)</f>
        <v>0</v>
      </c>
      <c r="BG206" s="180">
        <f>IF(N206="zákl. přenesená",J206,0)</f>
        <v>0</v>
      </c>
      <c r="BH206" s="180">
        <f>IF(N206="sníž. přenesená",J206,0)</f>
        <v>0</v>
      </c>
      <c r="BI206" s="180">
        <f>IF(N206="nulová",J206,0)</f>
        <v>0</v>
      </c>
      <c r="BJ206" s="159" t="s">
        <v>77</v>
      </c>
      <c r="BK206" s="180">
        <f>ROUND(I206*H206,2)</f>
        <v>0</v>
      </c>
      <c r="BL206" s="159" t="s">
        <v>460</v>
      </c>
      <c r="BM206" s="159" t="s">
        <v>466</v>
      </c>
    </row>
    <row r="207" spans="2:47" s="14" customFormat="1" ht="13.5" customHeight="1">
      <c r="B207" s="16"/>
      <c r="D207" s="127" t="s">
        <v>82</v>
      </c>
      <c r="F207" s="128" t="s">
        <v>462</v>
      </c>
      <c r="K207" s="16"/>
      <c r="L207" s="16"/>
      <c r="M207" s="181"/>
      <c r="N207" s="16"/>
      <c r="O207" s="16"/>
      <c r="P207" s="16"/>
      <c r="Q207" s="16"/>
      <c r="R207" s="16"/>
      <c r="S207" s="16"/>
      <c r="T207" s="182"/>
      <c r="AT207" s="159" t="s">
        <v>82</v>
      </c>
      <c r="AU207" s="159" t="s">
        <v>83</v>
      </c>
    </row>
    <row r="208" spans="2:65" s="14" customFormat="1" ht="22.5" customHeight="1">
      <c r="B208" s="120"/>
      <c r="C208" s="121" t="s">
        <v>467</v>
      </c>
      <c r="D208" s="121" t="s">
        <v>78</v>
      </c>
      <c r="E208" s="122" t="s">
        <v>468</v>
      </c>
      <c r="F208" s="123" t="s">
        <v>469</v>
      </c>
      <c r="G208" s="124" t="s">
        <v>86</v>
      </c>
      <c r="H208" s="125">
        <v>300</v>
      </c>
      <c r="I208" s="126">
        <v>0</v>
      </c>
      <c r="J208" s="126">
        <f>ROUND(I208*H208,2)</f>
        <v>0</v>
      </c>
      <c r="K208" s="175"/>
      <c r="L208" s="16"/>
      <c r="M208" s="176"/>
      <c r="N208" s="177" t="s">
        <v>24</v>
      </c>
      <c r="O208" s="178"/>
      <c r="P208" s="178"/>
      <c r="Q208" s="178"/>
      <c r="R208" s="178"/>
      <c r="S208" s="178"/>
      <c r="T208" s="179"/>
      <c r="AR208" s="159" t="s">
        <v>460</v>
      </c>
      <c r="AT208" s="159" t="s">
        <v>78</v>
      </c>
      <c r="AU208" s="159" t="s">
        <v>83</v>
      </c>
      <c r="AY208" s="159" t="s">
        <v>266</v>
      </c>
      <c r="BE208" s="180">
        <f>IF(N208="základní",J208,0)</f>
        <v>0</v>
      </c>
      <c r="BF208" s="180">
        <f>IF(N208="snížená",J208,0)</f>
        <v>0</v>
      </c>
      <c r="BG208" s="180">
        <f>IF(N208="zákl. přenesená",J208,0)</f>
        <v>0</v>
      </c>
      <c r="BH208" s="180">
        <f>IF(N208="sníž. přenesená",J208,0)</f>
        <v>0</v>
      </c>
      <c r="BI208" s="180">
        <f>IF(N208="nulová",J208,0)</f>
        <v>0</v>
      </c>
      <c r="BJ208" s="159" t="s">
        <v>77</v>
      </c>
      <c r="BK208" s="180">
        <f>ROUND(I208*H208,2)</f>
        <v>0</v>
      </c>
      <c r="BL208" s="159" t="s">
        <v>460</v>
      </c>
      <c r="BM208" s="159" t="s">
        <v>470</v>
      </c>
    </row>
    <row r="209" spans="2:47" s="14" customFormat="1" ht="13.5" customHeight="1">
      <c r="B209" s="16"/>
      <c r="D209" s="127" t="s">
        <v>82</v>
      </c>
      <c r="F209" s="128" t="s">
        <v>462</v>
      </c>
      <c r="K209" s="16"/>
      <c r="L209" s="16"/>
      <c r="M209" s="181"/>
      <c r="N209" s="16"/>
      <c r="O209" s="16"/>
      <c r="P209" s="16"/>
      <c r="Q209" s="16"/>
      <c r="R209" s="16"/>
      <c r="S209" s="16"/>
      <c r="T209" s="182"/>
      <c r="AT209" s="159" t="s">
        <v>82</v>
      </c>
      <c r="AU209" s="159" t="s">
        <v>83</v>
      </c>
    </row>
    <row r="210" spans="2:65" s="14" customFormat="1" ht="22.5" customHeight="1">
      <c r="B210" s="120"/>
      <c r="C210" s="121" t="s">
        <v>471</v>
      </c>
      <c r="D210" s="121" t="s">
        <v>78</v>
      </c>
      <c r="E210" s="122" t="s">
        <v>472</v>
      </c>
      <c r="F210" s="123" t="s">
        <v>473</v>
      </c>
      <c r="G210" s="124" t="s">
        <v>242</v>
      </c>
      <c r="H210" s="125">
        <v>0</v>
      </c>
      <c r="I210" s="126">
        <v>0</v>
      </c>
      <c r="J210" s="126">
        <f>ROUND(I210*H210,2)</f>
        <v>0</v>
      </c>
      <c r="K210" s="175"/>
      <c r="L210" s="16"/>
      <c r="M210" s="176"/>
      <c r="N210" s="177" t="s">
        <v>24</v>
      </c>
      <c r="O210" s="178"/>
      <c r="P210" s="178"/>
      <c r="Q210" s="178"/>
      <c r="R210" s="178"/>
      <c r="S210" s="178"/>
      <c r="T210" s="179"/>
      <c r="AR210" s="159" t="s">
        <v>460</v>
      </c>
      <c r="AT210" s="159" t="s">
        <v>78</v>
      </c>
      <c r="AU210" s="159" t="s">
        <v>83</v>
      </c>
      <c r="AY210" s="159" t="s">
        <v>266</v>
      </c>
      <c r="BE210" s="180">
        <f>IF(N210="základní",J210,0)</f>
        <v>0</v>
      </c>
      <c r="BF210" s="180">
        <f>IF(N210="snížená",J210,0)</f>
        <v>0</v>
      </c>
      <c r="BG210" s="180">
        <f>IF(N210="zákl. přenesená",J210,0)</f>
        <v>0</v>
      </c>
      <c r="BH210" s="180">
        <f>IF(N210="sníž. přenesená",J210,0)</f>
        <v>0</v>
      </c>
      <c r="BI210" s="180">
        <f>IF(N210="nulová",J210,0)</f>
        <v>0</v>
      </c>
      <c r="BJ210" s="159" t="s">
        <v>77</v>
      </c>
      <c r="BK210" s="180">
        <f>ROUND(I210*H210,2)</f>
        <v>0</v>
      </c>
      <c r="BL210" s="159" t="s">
        <v>460</v>
      </c>
      <c r="BM210" s="159" t="s">
        <v>474</v>
      </c>
    </row>
    <row r="211" spans="2:47" s="14" customFormat="1" ht="13.5" customHeight="1">
      <c r="B211" s="16"/>
      <c r="D211" s="127" t="s">
        <v>82</v>
      </c>
      <c r="F211" s="128" t="s">
        <v>475</v>
      </c>
      <c r="K211" s="16"/>
      <c r="L211" s="16"/>
      <c r="M211" s="181"/>
      <c r="N211" s="16"/>
      <c r="O211" s="16"/>
      <c r="P211" s="16"/>
      <c r="Q211" s="16"/>
      <c r="R211" s="16"/>
      <c r="S211" s="16"/>
      <c r="T211" s="182"/>
      <c r="AT211" s="159" t="s">
        <v>82</v>
      </c>
      <c r="AU211" s="159" t="s">
        <v>83</v>
      </c>
    </row>
    <row r="212" spans="2:65" s="14" customFormat="1" ht="22.5" customHeight="1">
      <c r="B212" s="120"/>
      <c r="C212" s="121" t="s">
        <v>476</v>
      </c>
      <c r="D212" s="121" t="s">
        <v>78</v>
      </c>
      <c r="E212" s="122" t="s">
        <v>477</v>
      </c>
      <c r="F212" s="123" t="s">
        <v>478</v>
      </c>
      <c r="G212" s="124" t="s">
        <v>86</v>
      </c>
      <c r="H212" s="125">
        <v>0</v>
      </c>
      <c r="I212" s="126">
        <v>0</v>
      </c>
      <c r="J212" s="126">
        <f>ROUND(I212*H212,2)</f>
        <v>0</v>
      </c>
      <c r="K212" s="175"/>
      <c r="L212" s="16"/>
      <c r="M212" s="176"/>
      <c r="N212" s="177" t="s">
        <v>24</v>
      </c>
      <c r="O212" s="178"/>
      <c r="P212" s="178"/>
      <c r="Q212" s="178"/>
      <c r="R212" s="178"/>
      <c r="S212" s="178"/>
      <c r="T212" s="179"/>
      <c r="AR212" s="159" t="s">
        <v>460</v>
      </c>
      <c r="AT212" s="159" t="s">
        <v>78</v>
      </c>
      <c r="AU212" s="159" t="s">
        <v>83</v>
      </c>
      <c r="AY212" s="159" t="s">
        <v>266</v>
      </c>
      <c r="BE212" s="180">
        <f>IF(N212="základní",J212,0)</f>
        <v>0</v>
      </c>
      <c r="BF212" s="180">
        <f>IF(N212="snížená",J212,0)</f>
        <v>0</v>
      </c>
      <c r="BG212" s="180">
        <f>IF(N212="zákl. přenesená",J212,0)</f>
        <v>0</v>
      </c>
      <c r="BH212" s="180">
        <f>IF(N212="sníž. přenesená",J212,0)</f>
        <v>0</v>
      </c>
      <c r="BI212" s="180">
        <f>IF(N212="nulová",J212,0)</f>
        <v>0</v>
      </c>
      <c r="BJ212" s="159" t="s">
        <v>77</v>
      </c>
      <c r="BK212" s="180">
        <f>ROUND(I212*H212,2)</f>
        <v>0</v>
      </c>
      <c r="BL212" s="159" t="s">
        <v>460</v>
      </c>
      <c r="BM212" s="159" t="s">
        <v>479</v>
      </c>
    </row>
    <row r="213" spans="2:47" s="14" customFormat="1" ht="13.5" customHeight="1">
      <c r="B213" s="16"/>
      <c r="D213" s="131" t="s">
        <v>82</v>
      </c>
      <c r="F213" s="132" t="s">
        <v>475</v>
      </c>
      <c r="K213" s="16"/>
      <c r="L213" s="16"/>
      <c r="M213" s="243"/>
      <c r="N213" s="244"/>
      <c r="O213" s="244"/>
      <c r="P213" s="244"/>
      <c r="Q213" s="244"/>
      <c r="R213" s="244"/>
      <c r="S213" s="244"/>
      <c r="T213" s="245"/>
      <c r="AT213" s="159" t="s">
        <v>82</v>
      </c>
      <c r="AU213" s="159" t="s">
        <v>83</v>
      </c>
    </row>
    <row r="214" spans="2:65" s="14" customFormat="1" ht="22.5" customHeight="1">
      <c r="B214" s="120"/>
      <c r="C214" s="121"/>
      <c r="D214" s="121"/>
      <c r="E214" s="122"/>
      <c r="F214" s="123"/>
      <c r="G214" s="124"/>
      <c r="H214" s="125"/>
      <c r="I214" s="126"/>
      <c r="J214" s="126"/>
      <c r="K214" s="123"/>
      <c r="L214" s="16"/>
      <c r="M214" s="176"/>
      <c r="N214" s="177"/>
      <c r="O214" s="178"/>
      <c r="P214" s="178"/>
      <c r="Q214" s="178"/>
      <c r="R214" s="178"/>
      <c r="S214" s="178"/>
      <c r="T214" s="179"/>
      <c r="AR214" s="159"/>
      <c r="AT214" s="159"/>
      <c r="AU214" s="159"/>
      <c r="AY214" s="159"/>
      <c r="BE214" s="180"/>
      <c r="BF214" s="180"/>
      <c r="BG214" s="180"/>
      <c r="BH214" s="180"/>
      <c r="BI214" s="180"/>
      <c r="BJ214" s="159"/>
      <c r="BK214" s="180"/>
      <c r="BL214" s="159"/>
      <c r="BM214" s="159"/>
    </row>
    <row r="215" spans="3:12" ht="13.5" customHeight="1">
      <c r="C215" s="1" t="s">
        <v>480</v>
      </c>
      <c r="E215" s="1" t="s">
        <v>481</v>
      </c>
      <c r="K215" s="2"/>
      <c r="L215" s="246"/>
    </row>
    <row r="216" spans="5:12" ht="13.5" customHeight="1">
      <c r="E216" s="1" t="s">
        <v>482</v>
      </c>
      <c r="K216" s="2"/>
      <c r="L216" s="246"/>
    </row>
    <row r="217" spans="5:12" ht="13.5" customHeight="1">
      <c r="E217" s="1" t="s">
        <v>483</v>
      </c>
      <c r="K217" s="2"/>
      <c r="L217" s="246"/>
    </row>
    <row r="218" spans="11:12" ht="13.5" customHeight="1">
      <c r="K218" s="2"/>
      <c r="L218" s="246"/>
    </row>
    <row r="219" spans="11:12" ht="6.75" customHeight="1">
      <c r="K219" s="2"/>
      <c r="L219" s="246"/>
    </row>
    <row r="220" spans="11:12" ht="6.75" customHeight="1">
      <c r="K220" s="2"/>
      <c r="L220" s="246"/>
    </row>
    <row r="221" spans="11:12" ht="6.75" customHeight="1">
      <c r="K221" s="2"/>
      <c r="L221" s="246"/>
    </row>
    <row r="222" spans="11:12" ht="6.75" customHeight="1">
      <c r="K222" s="2"/>
      <c r="L222" s="246"/>
    </row>
    <row r="223" spans="11:12" ht="6.75" customHeight="1">
      <c r="K223" s="2"/>
      <c r="L223" s="246"/>
    </row>
    <row r="224" spans="11:12" ht="6.75" customHeight="1">
      <c r="K224" s="2"/>
      <c r="L224" s="246"/>
    </row>
    <row r="225" spans="11:12" ht="6.75" customHeight="1">
      <c r="K225" s="2"/>
      <c r="L225" s="246"/>
    </row>
    <row r="226" spans="11:12" ht="6.75" customHeight="1">
      <c r="K226" s="247"/>
      <c r="L226" s="248"/>
    </row>
    <row r="227" spans="11:12" ht="6.75" customHeight="1">
      <c r="K227" s="247"/>
      <c r="L227" s="248"/>
    </row>
    <row r="228" spans="11:46" ht="6.75" customHeight="1">
      <c r="K228" s="247"/>
      <c r="L228" s="248"/>
      <c r="AT228" s="249"/>
    </row>
    <row r="229" spans="11:12" ht="6.75" customHeight="1">
      <c r="K229" s="247"/>
      <c r="L229" s="248"/>
    </row>
    <row r="230" spans="11:12" ht="6.75" customHeight="1">
      <c r="K230" s="247"/>
      <c r="L230" s="248"/>
    </row>
    <row r="231" spans="11:12" ht="6.75" customHeight="1">
      <c r="K231" s="247"/>
      <c r="L231" s="248"/>
    </row>
    <row r="232" spans="11:12" ht="6.75" customHeight="1">
      <c r="K232" s="247"/>
      <c r="L232" s="248"/>
    </row>
    <row r="233" spans="11:12" ht="6.75" customHeight="1">
      <c r="K233" s="247"/>
      <c r="L233" s="248"/>
    </row>
    <row r="234" spans="11:12" ht="6.75" customHeight="1">
      <c r="K234" s="247"/>
      <c r="L234" s="248"/>
    </row>
    <row r="235" spans="11:12" ht="6.75" customHeight="1">
      <c r="K235" s="247"/>
      <c r="L235" s="248"/>
    </row>
    <row r="236" spans="11:12" ht="6.75" customHeight="1">
      <c r="K236" s="247"/>
      <c r="L236" s="248"/>
    </row>
    <row r="237" spans="11:12" ht="6.75" customHeight="1">
      <c r="K237" s="247"/>
      <c r="L237" s="248"/>
    </row>
    <row r="238" spans="11:12" ht="6.75" customHeight="1">
      <c r="K238" s="247"/>
      <c r="L238" s="248"/>
    </row>
    <row r="239" spans="11:12" ht="6.75" customHeight="1">
      <c r="K239" s="247"/>
      <c r="L239" s="248"/>
    </row>
    <row r="240" spans="11:12" ht="6.75" customHeight="1">
      <c r="K240" s="247"/>
      <c r="L240" s="248"/>
    </row>
    <row r="241" spans="11:12" ht="6.75" customHeight="1">
      <c r="K241" s="247"/>
      <c r="L241" s="248"/>
    </row>
    <row r="242" spans="11:12" ht="6.75" customHeight="1">
      <c r="K242" s="247"/>
      <c r="L242" s="248"/>
    </row>
    <row r="243" spans="11:12" ht="6.75" customHeight="1">
      <c r="K243" s="247"/>
      <c r="L243" s="248"/>
    </row>
    <row r="244" spans="11:12" ht="6.75" customHeight="1">
      <c r="K244" s="247"/>
      <c r="L244" s="248"/>
    </row>
    <row r="245" spans="11:12" ht="6.75" customHeight="1">
      <c r="K245" s="247"/>
      <c r="L245" s="248"/>
    </row>
    <row r="246" spans="11:12" ht="6.75" customHeight="1">
      <c r="K246" s="247"/>
      <c r="L246" s="248"/>
    </row>
    <row r="247" spans="11:12" ht="6.75" customHeight="1">
      <c r="K247" s="247"/>
      <c r="L247" s="248"/>
    </row>
    <row r="248" spans="11:12" ht="6.75" customHeight="1">
      <c r="K248" s="247"/>
      <c r="L248" s="248"/>
    </row>
    <row r="249" spans="11:12" ht="6.75" customHeight="1">
      <c r="K249" s="247"/>
      <c r="L249" s="248"/>
    </row>
    <row r="250" ht="6.75" customHeight="1">
      <c r="K250" s="247"/>
    </row>
    <row r="251" ht="6.75" customHeight="1">
      <c r="K251" s="247"/>
    </row>
  </sheetData>
  <sheetProtection/>
  <printOptions/>
  <pageMargins left="0.15748031496062992" right="0" top="0.767716535433071" bottom="0.9047244094488189" header="0.4720472440944882" footer="0.5118110236220472"/>
  <pageSetup fitToHeight="0" fitToWidth="0" orientation="landscape" pageOrder="overThenDown" paperSize="9" scale="105"/>
  <headerFooter alignWithMargins="0">
    <oddFooter>&amp;C&amp;10Stránka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62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Korger</dc:creator>
  <cp:keywords/>
  <dc:description/>
  <cp:lastModifiedBy>Pavel Korger</cp:lastModifiedBy>
  <cp:lastPrinted>2019-09-20T06:28:05Z</cp:lastPrinted>
  <dcterms:created xsi:type="dcterms:W3CDTF">2019-09-20T06:38:04Z</dcterms:created>
  <dcterms:modified xsi:type="dcterms:W3CDTF">2019-09-24T06:34:34Z</dcterms:modified>
  <cp:category/>
  <cp:version/>
  <cp:contentType/>
  <cp:contentStatus/>
  <cp:revision>1</cp:revision>
</cp:coreProperties>
</file>